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76" windowWidth="12120" windowHeight="9120" tabRatio="331" activeTab="0"/>
  </bookViews>
  <sheets>
    <sheet name="Inputs" sheetId="1" r:id="rId1"/>
    <sheet name="Results" sheetId="2" r:id="rId2"/>
    <sheet name="Help" sheetId="3" r:id="rId3"/>
    <sheet name="Sheet2" sheetId="4" state="hidden" r:id="rId4"/>
    <sheet name="Sheet1" sheetId="5" state="hidden" r:id="rId5"/>
    <sheet name="Bunker Sizing" sheetId="6" r:id="rId6"/>
  </sheets>
  <definedNames>
    <definedName name="_Order1" hidden="1">0</definedName>
    <definedName name="_Order2" hidden="1">0</definedName>
    <definedName name="Inputs1">'Inputs'!$A$1:$I$42</definedName>
    <definedName name="Inputs2">'Inputs'!$A$44:$I$89</definedName>
    <definedName name="_xlnm.Print_Area" localSheetId="2">'Help'!$A$1:$K$205</definedName>
    <definedName name="_xlnm.Print_Area" localSheetId="0">'Inputs'!$A:$IV</definedName>
    <definedName name="_xlnm.Print_Area" localSheetId="1">'Results'!$A$1:$F$55</definedName>
    <definedName name="Res">'Results'!$A$1:$F$55</definedName>
  </definedNames>
  <calcPr fullCalcOnLoad="1"/>
</workbook>
</file>

<file path=xl/sharedStrings.xml><?xml version="1.0" encoding="utf-8"?>
<sst xmlns="http://schemas.openxmlformats.org/spreadsheetml/2006/main" count="773" uniqueCount="502">
  <si>
    <t>costs of owning and operating several types of forage storages.</t>
  </si>
  <si>
    <t>Brian J. Holmes, Professor and Extension Specialist</t>
  </si>
  <si>
    <t>A documentation  publication exists for this spreadsheet and should</t>
  </si>
  <si>
    <t>Biological Systems Engineering Department</t>
  </si>
  <si>
    <t>be consulted before using the spreadsheet.</t>
  </si>
  <si>
    <t>University of Wisconsin-Madison</t>
  </si>
  <si>
    <t>460 Henry Mall</t>
  </si>
  <si>
    <t>Madison, WI 53706</t>
  </si>
  <si>
    <t>(608) 262-0096</t>
  </si>
  <si>
    <t>BJHOLMES@FACSTAFF.WISC.EDU</t>
  </si>
  <si>
    <t>FRANK@aae.wisc.edu</t>
  </si>
  <si>
    <t>Agricultural Economist, Center for Dairy Profitability, UW-Madison</t>
  </si>
  <si>
    <t>=</t>
  </si>
  <si>
    <t>Blade or</t>
  </si>
  <si>
    <t>Proportion</t>
  </si>
  <si>
    <t>Unloader</t>
  </si>
  <si>
    <t>Bagger/</t>
  </si>
  <si>
    <t>of Forage</t>
  </si>
  <si>
    <t>TOTAL</t>
  </si>
  <si>
    <t xml:space="preserve"> Blower/</t>
  </si>
  <si>
    <t>of Time</t>
  </si>
  <si>
    <t>Loading</t>
  </si>
  <si>
    <t>Dry Matter</t>
  </si>
  <si>
    <t>Cost per</t>
  </si>
  <si>
    <t>Structure</t>
  </si>
  <si>
    <t>Tractor</t>
  </si>
  <si>
    <t>Wrapper</t>
  </si>
  <si>
    <t>&lt;-- Used</t>
  </si>
  <si>
    <t>Loss</t>
  </si>
  <si>
    <t xml:space="preserve">   Ton DM</t>
  </si>
  <si>
    <t>(%)</t>
  </si>
  <si>
    <t xml:space="preserve">  ($/T DM)</t>
  </si>
  <si>
    <t>Silage Bale Wrap</t>
  </si>
  <si>
    <t xml:space="preserve"> Proportion of</t>
  </si>
  <si>
    <t xml:space="preserve">   Proportion</t>
  </si>
  <si>
    <t>of Engine</t>
  </si>
  <si>
    <t>Size (HP)</t>
  </si>
  <si>
    <t>Cost($)</t>
  </si>
  <si>
    <t xml:space="preserve">  Capacity (%)</t>
  </si>
  <si>
    <t>Run Blower</t>
  </si>
  <si>
    <t>Silage Bags:</t>
  </si>
  <si>
    <t>Run Bagger</t>
  </si>
  <si>
    <t>Number Silage Bags</t>
  </si>
  <si>
    <t>Pack Bunker/Pile</t>
  </si>
  <si>
    <t>Unload Bag/Bunker/Pile</t>
  </si>
  <si>
    <t>Bunker:</t>
  </si>
  <si>
    <t>Pile:</t>
  </si>
  <si>
    <t>Bunker Silo Plastic Cost ($)</t>
  </si>
  <si>
    <t>Silage Pile Plastic Cost ($)</t>
  </si>
  <si>
    <t>Dry Hay Bales:</t>
  </si>
  <si>
    <t>Silage Bales:</t>
  </si>
  <si>
    <t>Item</t>
  </si>
  <si>
    <t>&lt;-(8 TDM/Hr)</t>
  </si>
  <si>
    <t>Tower Silo Unload Rate (2TDM/HR)</t>
  </si>
  <si>
    <t>Interest</t>
  </si>
  <si>
    <t>Tower Silo Attention at Unloading (50%)</t>
  </si>
  <si>
    <t>Repairs</t>
  </si>
  <si>
    <t>Taxes</t>
  </si>
  <si>
    <t>Insurance</t>
  </si>
  <si>
    <t>Ownership %</t>
  </si>
  <si>
    <t>Interest Rate</t>
  </si>
  <si>
    <t>Worksheet</t>
  </si>
  <si>
    <t>Salvage Value</t>
  </si>
  <si>
    <t>Seepage</t>
  </si>
  <si>
    <t>Gaseous</t>
  </si>
  <si>
    <t>Spoilage</t>
  </si>
  <si>
    <t>Unloading**</t>
  </si>
  <si>
    <t>Total</t>
  </si>
  <si>
    <t xml:space="preserve">  ** Unloading losses</t>
  </si>
  <si>
    <t xml:space="preserve">  storage base decreases.</t>
  </si>
  <si>
    <t xml:space="preserve">  Macadam = 6%, and</t>
  </si>
  <si>
    <t xml:space="preserve">  Earth = 8 - 20%</t>
  </si>
  <si>
    <t>Dollars per Year by Category, Total, and per Ton Dry Matter (TDM) Stored</t>
  </si>
  <si>
    <t>Low Cost Systems</t>
  </si>
  <si>
    <t>Building/</t>
  </si>
  <si>
    <t>Unloader/</t>
  </si>
  <si>
    <t>Blower/</t>
  </si>
  <si>
    <t>Silo/</t>
  </si>
  <si>
    <t>Storage Pad</t>
  </si>
  <si>
    <t>Storage Type:</t>
  </si>
  <si>
    <t>($/YR)</t>
  </si>
  <si>
    <t xml:space="preserve">Fuel &amp;   </t>
  </si>
  <si>
    <t>Plastic/</t>
  </si>
  <si>
    <t>Dry</t>
  </si>
  <si>
    <t>Lubrication</t>
  </si>
  <si>
    <t>Bags</t>
  </si>
  <si>
    <t>Matter</t>
  </si>
  <si>
    <t xml:space="preserve">   ANNUAL</t>
  </si>
  <si>
    <t>&amp;Electricity</t>
  </si>
  <si>
    <t xml:space="preserve">     COST</t>
  </si>
  <si>
    <t xml:space="preserve">   ($/YR)</t>
  </si>
  <si>
    <t>Annual</t>
  </si>
  <si>
    <t>Annual Cost</t>
  </si>
  <si>
    <t xml:space="preserve">Cost </t>
  </si>
  <si>
    <t>per Ton of</t>
  </si>
  <si>
    <t>per Ton</t>
  </si>
  <si>
    <t>Feed Fed</t>
  </si>
  <si>
    <t>($/TDM-YR)</t>
  </si>
  <si>
    <t>Loss (%)</t>
  </si>
  <si>
    <t>($/TDM Feed)</t>
  </si>
  <si>
    <t>Costs not included are:</t>
  </si>
  <si>
    <t>Snow removal, Access road, Multiple silo fills/yr, Plastic disposal.</t>
  </si>
  <si>
    <t>Silage Pile Calculator</t>
  </si>
  <si>
    <t>Dry Matter Density (12 lbs/cu ft)=</t>
  </si>
  <si>
    <t>Pile Depth (feet) =</t>
  </si>
  <si>
    <t>Top Width (feet) =</t>
  </si>
  <si>
    <t>Pile Side Slope (Run {ft}/ 1 {ft}, 3/1)</t>
  </si>
  <si>
    <t>Distance Between Piles (6 feet) =</t>
  </si>
  <si>
    <t>Number Of Piles</t>
  </si>
  <si>
    <t>Buffer On Ends Of Piles (10 Feet) =</t>
  </si>
  <si>
    <t>Storage Pad Cost($0.50/sq ft) =</t>
  </si>
  <si>
    <t>Plastic Cost ($0.025/sq ft) =</t>
  </si>
  <si>
    <t>Calculated Bottom Width (feet) =</t>
  </si>
  <si>
    <t>Calculated Surface Area (sq ft/pile) =</t>
  </si>
  <si>
    <t>Calculated Volume (cu. feet/pile) =</t>
  </si>
  <si>
    <t>T DM</t>
  </si>
  <si>
    <t>Storage Pad Length (feet) =</t>
  </si>
  <si>
    <t>Storage Pad Width (feet) =</t>
  </si>
  <si>
    <t>Storage Pad Area (Sq. Feet) =</t>
  </si>
  <si>
    <t>===&gt;</t>
  </si>
  <si>
    <t>Number Of Bales =</t>
  </si>
  <si>
    <t>Unit Wrap &amp; Load Time (3 person-min/bale) =</t>
  </si>
  <si>
    <t>Unit Unwrap Time (5 person-min/bale) =</t>
  </si>
  <si>
    <t>Unit Unload Bales Time (2 person-min/bale) =</t>
  </si>
  <si>
    <t>Calculated No. Bale Rows=Columns =</t>
  </si>
  <si>
    <t>Silage Bag Calculator</t>
  </si>
  <si>
    <t>Dry Matter Density (14 lbs/cu ft)=</t>
  </si>
  <si>
    <t>Number</t>
  </si>
  <si>
    <t>Bag Diameter (feet) =</t>
  </si>
  <si>
    <t>Distance Between Bags (3 feet) =</t>
  </si>
  <si>
    <t>(T DM)</t>
  </si>
  <si>
    <t>====&gt;</t>
  </si>
  <si>
    <t>Buffer On Ends Of Bags (10 Feet) =</t>
  </si>
  <si>
    <t>-</t>
  </si>
  <si>
    <t>Silage Density (14#/cu ft) =</t>
  </si>
  <si>
    <t>Storage Period (days) =</t>
  </si>
  <si>
    <t>Wall</t>
  </si>
  <si>
    <t>No. Walls Loaded One Side =</t>
  </si>
  <si>
    <t>Loaded</t>
  </si>
  <si>
    <t>Height</t>
  </si>
  <si>
    <t>One</t>
  </si>
  <si>
    <t>Two</t>
  </si>
  <si>
    <t>Length of Walls Loaded One Side (ft) =</t>
  </si>
  <si>
    <t>Side</t>
  </si>
  <si>
    <t>Sides</t>
  </si>
  <si>
    <t>Length of Walls Loaded Two Sides (ft) =</t>
  </si>
  <si>
    <t>(ft)</t>
  </si>
  <si>
    <t>($/ft)</t>
  </si>
  <si>
    <t>Cost of Walls Loaded One Side ($/ft) =</t>
  </si>
  <si>
    <t>Cost of Walls Loaded Two Sides ($/ft) =</t>
  </si>
  <si>
    <t xml:space="preserve"> 8-9</t>
  </si>
  <si>
    <t xml:space="preserve"> 50</t>
  </si>
  <si>
    <t>55-60</t>
  </si>
  <si>
    <t>12.0</t>
  </si>
  <si>
    <t xml:space="preserve"> 80</t>
  </si>
  <si>
    <t xml:space="preserve">  135</t>
  </si>
  <si>
    <t>Width of Conc. Floor Between Wall Toes (ft) =</t>
  </si>
  <si>
    <t>16.0</t>
  </si>
  <si>
    <t>110</t>
  </si>
  <si>
    <t xml:space="preserve">  175</t>
  </si>
  <si>
    <t>Length of Concrete Floor Between Walls (ft)=</t>
  </si>
  <si>
    <t>Width of Concrete Apron (20 ft) =</t>
  </si>
  <si>
    <t>Length of Concrete Apron (ft) =</t>
  </si>
  <si>
    <t>Cost Concrete Floor ($1.50-2.00/sq ft) =</t>
  </si>
  <si>
    <t>Excavation &amp; Gravel Fill Cost ($0.35/sq ft) =</t>
  </si>
  <si>
    <t>Area Excavated &amp; Gravel Filled (sq ft) =</t>
  </si>
  <si>
    <t>Bunker Silo Cost Summary</t>
  </si>
  <si>
    <t>Cost ($)</t>
  </si>
  <si>
    <t>Excavation &amp; Gravel Fill</t>
  </si>
  <si>
    <t>Floor</t>
  </si>
  <si>
    <t>Walls Loaded Two Sides</t>
  </si>
  <si>
    <t>Walls Loaded One Side</t>
  </si>
  <si>
    <t xml:space="preserve">BUNKER SILO SIZING </t>
  </si>
  <si>
    <t>August 22, 1998</t>
  </si>
  <si>
    <t>Brian J. Holmes</t>
  </si>
  <si>
    <t>Professor and Extension Specialist</t>
  </si>
  <si>
    <t>Biological Systems Engineering Dept.</t>
  </si>
  <si>
    <t>SILAGE DRY MATTER CALCULATOR (herd totals do NOT transfer to Herd Daily Feed Need in INPUT section)</t>
  </si>
  <si>
    <t>Madison, WI 53711</t>
  </si>
  <si>
    <t>Voice: (608) 262-0096</t>
  </si>
  <si>
    <t>Hay1</t>
  </si>
  <si>
    <t>Hay2</t>
  </si>
  <si>
    <t>Hay3</t>
  </si>
  <si>
    <t>Corn</t>
  </si>
  <si>
    <t>FAX:    (608) 262-1228</t>
  </si>
  <si>
    <t>Silage</t>
  </si>
  <si>
    <t>bjholmes@facstaff.wisc.edu</t>
  </si>
  <si>
    <t>per</t>
  </si>
  <si>
    <t>Group</t>
  </si>
  <si>
    <t>--------  LBS DM/ANIMAL-DAY    ---------</t>
  </si>
  <si>
    <t>--------  LBS DM/GROUP-DAY    ---------</t>
  </si>
  <si>
    <t>DRY</t>
  </si>
  <si>
    <t>Transition</t>
  </si>
  <si>
    <t>Dry1</t>
  </si>
  <si>
    <t>Dry2</t>
  </si>
  <si>
    <t>Forage Type (hay, corn, oats&amp;peas etc):</t>
  </si>
  <si>
    <t>Close-up</t>
  </si>
  <si>
    <t>Herd Daily Feed Need (Lbs DMI/Herd-Day)  =</t>
  </si>
  <si>
    <t>Maternity</t>
  </si>
  <si>
    <t xml:space="preserve">          This Forage</t>
  </si>
  <si>
    <t>Fresh</t>
  </si>
  <si>
    <t>Storage Loss (%)                                      =</t>
  </si>
  <si>
    <t xml:space="preserve">           Fill through Storage</t>
  </si>
  <si>
    <t>Two-year-olds</t>
  </si>
  <si>
    <t>Feeding Loss (%)                                      =</t>
  </si>
  <si>
    <t>THREE YRS &amp; OLDER</t>
  </si>
  <si>
    <t xml:space="preserve">           Feed Removal through Refusal</t>
  </si>
  <si>
    <t>High Producers</t>
  </si>
  <si>
    <t>Medium Producers</t>
  </si>
  <si>
    <t>Silage Wet Density (40 Lbs/cu ft)               =</t>
  </si>
  <si>
    <t>Low Producers</t>
  </si>
  <si>
    <t>Silage Moisture Content (%)                       =</t>
  </si>
  <si>
    <t>Sick Cows</t>
  </si>
  <si>
    <t>Face Removal Rate (min. 6 In/Day)             =</t>
  </si>
  <si>
    <t>MATURE COWS</t>
  </si>
  <si>
    <t>Storage Period (days)                                =</t>
  </si>
  <si>
    <t>HEIFERS</t>
  </si>
  <si>
    <t>3-5 months</t>
  </si>
  <si>
    <t>Maximum Silo Length (150 ft)                     =</t>
  </si>
  <si>
    <t>6-8 months</t>
  </si>
  <si>
    <t xml:space="preserve">     for about 10 foot wall height</t>
  </si>
  <si>
    <t>9-12 months</t>
  </si>
  <si>
    <t>13-15 months</t>
  </si>
  <si>
    <t>16 months-freshening</t>
  </si>
  <si>
    <t>AVERAGE</t>
  </si>
  <si>
    <t>NUMBER</t>
  </si>
  <si>
    <t>BUNKER</t>
  </si>
  <si>
    <t>FORAGE</t>
  </si>
  <si>
    <t>PERCENTAGE</t>
  </si>
  <si>
    <t>WALL</t>
  </si>
  <si>
    <t>of</t>
  </si>
  <si>
    <t>LENGTH</t>
  </si>
  <si>
    <t>PLACED</t>
  </si>
  <si>
    <t>LOSS</t>
  </si>
  <si>
    <t>HEIGHT</t>
  </si>
  <si>
    <t>WIDTH</t>
  </si>
  <si>
    <t>INTO</t>
  </si>
  <si>
    <t>HERD TOTAL</t>
  </si>
  <si>
    <t>SILOS</t>
  </si>
  <si>
    <t>(FEET)</t>
  </si>
  <si>
    <t>STORAGE</t>
  </si>
  <si>
    <t>Refusal</t>
  </si>
  <si>
    <t>(EACH)</t>
  </si>
  <si>
    <t>(TDM)</t>
  </si>
  <si>
    <t>*</t>
  </si>
  <si>
    <t>* Forage DM Loss is the sum of the Storage Loss and Feeding Loss (entered above) at 12 foot wall height plus a feeding face loss.</t>
  </si>
  <si>
    <t>Losses will be greater for wall height less than 12 feet and less for higher walls due to top area effects.</t>
  </si>
  <si>
    <t>INVESTMENT AND ANNUAL COSTS OF FORAGE STORAGE</t>
  </si>
  <si>
    <t>This spreadsheet was developed to calculate the investment and annual</t>
  </si>
  <si>
    <t xml:space="preserve"> INVESTMENT</t>
  </si>
  <si>
    <t>INVESTMENT</t>
  </si>
  <si>
    <t xml:space="preserve">  Investment</t>
  </si>
  <si>
    <t>Tower Silos:</t>
  </si>
  <si>
    <t>Labor &amp; Energy Costs:</t>
  </si>
  <si>
    <t>Ownership Costs</t>
  </si>
  <si>
    <t xml:space="preserve"> Filling</t>
  </si>
  <si>
    <t>INVESTMENT COST</t>
  </si>
  <si>
    <t xml:space="preserve">Bagger </t>
  </si>
  <si>
    <t>Electricity Cost  ($.07/KWH)</t>
  </si>
  <si>
    <t>Silage Bag Cost ($/bag)</t>
  </si>
  <si>
    <t xml:space="preserve">Steel/Glass Tower </t>
  </si>
  <si>
    <t xml:space="preserve">Cast in Place Tower </t>
  </si>
  <si>
    <t xml:space="preserve">Stave Tower </t>
  </si>
  <si>
    <t xml:space="preserve">Above Ground Bunker </t>
  </si>
  <si>
    <t xml:space="preserve">Packed Pile </t>
  </si>
  <si>
    <t xml:space="preserve">Dry Baled Hay </t>
  </si>
  <si>
    <t>Wrap Plastic-($/bale)</t>
  </si>
  <si>
    <t>Wrap Plastic -($/bale)</t>
  </si>
  <si>
    <t>Number of Silage Bales</t>
  </si>
  <si>
    <t>Number of Dry Hay Bales</t>
  </si>
  <si>
    <t>Structures</t>
  </si>
  <si>
    <t xml:space="preserve"> Life(years)</t>
  </si>
  <si>
    <t>Dry Matter Loss %*</t>
  </si>
  <si>
    <t>INPUT   -----------------------------</t>
  </si>
  <si>
    <t>COMPONENTS  -------------</t>
  </si>
  <si>
    <t>COST OUTPUT==========</t>
  </si>
  <si>
    <t>Storage Type</t>
  </si>
  <si>
    <t xml:space="preserve">  Losses increase as quality of</t>
  </si>
  <si>
    <t xml:space="preserve">   Asphalt= 4%</t>
  </si>
  <si>
    <t>* Modified from Midwest Plan Service #7 "Dairy Freestall Housing and Equipment" 6th Edition, 1997</t>
  </si>
  <si>
    <t>Blade /</t>
  </si>
  <si>
    <t>COST ($)</t>
  </si>
  <si>
    <t>Fill  Through</t>
  </si>
  <si>
    <t>of DM LOSS</t>
  </si>
  <si>
    <t>Yellow cells are user changeable</t>
  </si>
  <si>
    <t>Red values are calculated and are not user changeable.</t>
  </si>
  <si>
    <t xml:space="preserve">Quantity Needed to be </t>
  </si>
  <si>
    <t>Stored (T DM)</t>
  </si>
  <si>
    <t>Plastic Removal Time (10 min/day)</t>
  </si>
  <si>
    <t>Dry Hay Bale Storage Calculator</t>
  </si>
  <si>
    <t>This calculator allows dry hay to be either  plastic wrapped or</t>
  </si>
  <si>
    <t>not wrapped and stored in a buiding. Enter a zero if an input</t>
  </si>
  <si>
    <t>topic does not apply.</t>
  </si>
  <si>
    <t>Bale Length  (ft) =</t>
  </si>
  <si>
    <t>Bale Diameter (ft)  (zero if rectangular) =</t>
  </si>
  <si>
    <t>Avg of Width &amp; Height (ft) (zero if round) =</t>
  </si>
  <si>
    <t>Number of Bale Rows Stacked (2 bales high) =</t>
  </si>
  <si>
    <t>Bale Volume (cu ft/bale)</t>
  </si>
  <si>
    <t>Pad/Building Width (ft) =</t>
  </si>
  <si>
    <t>Width of gravel apron on long side</t>
  </si>
  <si>
    <t xml:space="preserve">                                     of Pad/Building (20 ft)=</t>
  </si>
  <si>
    <t>Storage Pad/Bldg Floor Cost ($0.50/sq ft) =</t>
  </si>
  <si>
    <t>Unit Wrap &amp;/or Load Time (3 person-min/bale) =</t>
  </si>
  <si>
    <t>Plastic Cost to Wrap Each Bale ($/bale) =</t>
  </si>
  <si>
    <t>Calculated No. Bale Rows (across width)</t>
  </si>
  <si>
    <t>Storage Pad &amp;/or Building Length (ft) =</t>
  </si>
  <si>
    <t>Roof Bottom Cord Height (ft) =</t>
  </si>
  <si>
    <t>Storage Pad &amp;/or Building Area (sq ft) =</t>
  </si>
  <si>
    <t>NOTE: Does not include apron along long side</t>
  </si>
  <si>
    <t>Investment Cost Strg Pad &amp;/or Bldg ($) =</t>
  </si>
  <si>
    <t>Wrap &amp; Load Labor (HR/yr) =</t>
  </si>
  <si>
    <t>Unwrap Labor (HR/yr) =</t>
  </si>
  <si>
    <t>Automatically Entered in Inputs Cell C48</t>
  </si>
  <si>
    <t>Unload Labor (HR/yr) =</t>
  </si>
  <si>
    <t>Automatically Entered in Inputs Cell C49</t>
  </si>
  <si>
    <t>Wrap &amp;/or Load Labor (HR/yr) =</t>
  </si>
  <si>
    <t>================================================================================</t>
  </si>
  <si>
    <t>=========</t>
  </si>
  <si>
    <t>========</t>
  </si>
  <si>
    <t>Silage Bale Storage Calculator</t>
  </si>
  <si>
    <t>Bale Length (ft) =</t>
  </si>
  <si>
    <t>NOTE: Includes 10 ft on each end as apron</t>
  </si>
  <si>
    <t>NOTE: Includes 10 ft on each side as apron</t>
  </si>
  <si>
    <t>Investment Cost Storage Pad ($) =</t>
  </si>
  <si>
    <t>Automatically Entered in Inputs Cell I48</t>
  </si>
  <si>
    <t>Automatically Entered in Inputs Cell I49</t>
  </si>
  <si>
    <t>=================================================================================</t>
  </si>
  <si>
    <t>Tractors Used To:</t>
  </si>
  <si>
    <t>Automaticly Entered in Inputs Cell I42</t>
  </si>
  <si>
    <t>Silage Pile Empty Labor(Person HR/yr)=</t>
  </si>
  <si>
    <t>Silage Pile Fill Labor(Person HR/yr)=</t>
  </si>
  <si>
    <t>Cover Labor Total (Person HR/yr) =</t>
  </si>
  <si>
    <t>Unload Silage Bales Labor(Man-HR/yr)</t>
  </si>
  <si>
    <t>Unwrap Silage Bale Labor(Man-HR/yr)</t>
  </si>
  <si>
    <t>Unwrap Dry Hay Bales Labor(Man-HR/yr)</t>
  </si>
  <si>
    <t>Unload Dry Hay Bales Labor(Man-HR/yr)</t>
  </si>
  <si>
    <t>Bunker Silo Fill Labor(Man-HR/yr)</t>
  </si>
  <si>
    <t>Bunker Silo Cover Labor(Man-HR/yr)</t>
  </si>
  <si>
    <t>Silage Bagger Fill Labor (Person-hr/yr)=</t>
  </si>
  <si>
    <t>Unwrap Silage Bags Labor (Person-hr/yr)=</t>
  </si>
  <si>
    <t>Empty Silage Bags Labor (Person-hr/yr)=</t>
  </si>
  <si>
    <t>Silage Bagger Fill Rate (8T DM/hr)</t>
  </si>
  <si>
    <t>Wall Height (ft) =</t>
  </si>
  <si>
    <t>Unit Cost</t>
  </si>
  <si>
    <t>Number of Bunkers =</t>
  </si>
  <si>
    <t>No. of Walls Loaded Two Sides (ft) =</t>
  </si>
  <si>
    <t xml:space="preserve">                (1993 Prices)</t>
  </si>
  <si>
    <t xml:space="preserve">Approximate Wall Cost </t>
  </si>
  <si>
    <t>Above Ground Bunker Silo Calculator (For help in sizing the bunker silo, click on Bunker Sizing tab below)</t>
  </si>
  <si>
    <t xml:space="preserve">                            Total Investment Cost</t>
  </si>
  <si>
    <t>Must be close  in value to :</t>
  </si>
  <si>
    <t xml:space="preserve">Red values are calculated  from other input values. These cells are   </t>
  </si>
  <si>
    <t>Quantity to be Stored (TDM)</t>
  </si>
  <si>
    <t>Forage Value ($85/TDM)</t>
  </si>
  <si>
    <t>Bale Wrap&amp;Load Labor(Man-HR/yr)</t>
  </si>
  <si>
    <t>Hay Wrap &amp;/or Load Labor(Man-HR/yr)</t>
  </si>
  <si>
    <t>Average Width per Bunker ( &gt;16 ft) =</t>
  </si>
  <si>
    <t>Bag Length - (Plastic Length-2xDia) (feet)=</t>
  </si>
  <si>
    <t>Avg. Distance Silage Face to Wagon (ft)=</t>
  </si>
  <si>
    <t>Travel Speed Transporting Along Silo (MPH) =</t>
  </si>
  <si>
    <t>Travel Speed (ft/min)=</t>
  </si>
  <si>
    <t>Travel Distance (ft) =</t>
  </si>
  <si>
    <t>Travel Cycle (min/trip) =</t>
  </si>
  <si>
    <t>Cycles per Hour =</t>
  </si>
  <si>
    <t>Unload Rate - Includes Face Removal(T DM/HR) =</t>
  </si>
  <si>
    <t xml:space="preserve"> </t>
  </si>
  <si>
    <t xml:space="preserve">    HELP HERE</t>
  </si>
  <si>
    <t>Bunker Empty Labor (Person-hr/yr) =</t>
  </si>
  <si>
    <t>Bunker Cover Labor (Person-hr/yr) =</t>
  </si>
  <si>
    <t>Bunker Fill Labor (Person-hr/yr) =</t>
  </si>
  <si>
    <t>Plastic Total Cost ($/yr) =</t>
  </si>
  <si>
    <t>Travel Speed (ft/min) =</t>
  </si>
  <si>
    <t>Avg. Distance Silage Face to Wagon (ft) =</t>
  </si>
  <si>
    <t>Cover Labor (0.0025 Person-hr/sq ft) =</t>
  </si>
  <si>
    <t xml:space="preserve">   </t>
  </si>
  <si>
    <t>Automaticly transferred to  Inputs Cell C42</t>
  </si>
  <si>
    <t>Bucket Capacity-As Used (1-4 cu yd) =</t>
  </si>
  <si>
    <t>Density of  Silage in Bucket (5 lbs DM/cu ft) =</t>
  </si>
  <si>
    <t>Bucket Capacity-As Used (1-4 cu yd)=</t>
  </si>
  <si>
    <t>Continued Below</t>
  </si>
  <si>
    <t>Bale Stacking Volume Efficiency - suggested values to right =</t>
  </si>
  <si>
    <t>Large Rectangular-90%, Large Round-60%</t>
  </si>
  <si>
    <t>Large Rectangular-90%, Large Round-60%, Small Rectangular-85%</t>
  </si>
  <si>
    <t>Results-Annual Costs</t>
  </si>
  <si>
    <t>Storage Period (days)</t>
  </si>
  <si>
    <t xml:space="preserve"> Wrap &amp;/or Load Dry Hay Bales</t>
  </si>
  <si>
    <t xml:space="preserve"> Empty Dry Hay Bales</t>
  </si>
  <si>
    <t>Small Rectangular: 7-9 lbs DM/cu ft</t>
  </si>
  <si>
    <t xml:space="preserve">Large Round:9-13 lbs DM/cu ft, </t>
  </si>
  <si>
    <t>Large Rectangular:13-15 lbs DM/cu ft,</t>
  </si>
  <si>
    <t>Uncover Pile Labor (15 Person-min./day)=</t>
  </si>
  <si>
    <t>Tractor Used to Uncover Pile (yes or no)=</t>
  </si>
  <si>
    <t>y</t>
  </si>
  <si>
    <t>n</t>
  </si>
  <si>
    <t>Calculated Total Volume (cu. feet) and Weight (TDM)=</t>
  </si>
  <si>
    <t>Storage Pad Investment Cost ($) =</t>
  </si>
  <si>
    <t>Plastic Total Cost ($/yr)</t>
  </si>
  <si>
    <t>Storage Building Cost  ($4-8/sq ft) =</t>
  </si>
  <si>
    <t>Tires/Weighting Investment Cost ($) =</t>
  </si>
  <si>
    <t>Storage Pad + Weighting Investment Cost ($) =</t>
  </si>
  <si>
    <t>Unload Rate (T DM/hr) =</t>
  </si>
  <si>
    <t>Face Removal Rate (0.5 ft/day minimum) =</t>
  </si>
  <si>
    <t>Tires/Weighting</t>
  </si>
  <si>
    <t>Covering Labor (0.0025 Person-hr/sq ft) =</t>
  </si>
  <si>
    <t>Tower Silo Height (ft)</t>
  </si>
  <si>
    <t>Tower Silo Diameter (ft)</t>
  </si>
  <si>
    <t>Number Tower Silos</t>
  </si>
  <si>
    <t>Tower Silo Diameter (ft) =</t>
  </si>
  <si>
    <t>Tower Silo Height (ft) =</t>
  </si>
  <si>
    <t>Bunker Silos Wall Height (ft)=</t>
  </si>
  <si>
    <t>Bunker Silos Width (ft)=</t>
  </si>
  <si>
    <t xml:space="preserve">Number of Silage Piles = </t>
  </si>
  <si>
    <t>Bunker Silos Wall Length (ft)=</t>
  </si>
  <si>
    <t>Bale Density (see column G) =</t>
  </si>
  <si>
    <t>Silage Pile Height (ft) =</t>
  </si>
  <si>
    <t>Silage Pile Top Width (ft) =</t>
  </si>
  <si>
    <t>Silage Pile Botton Width (ft) =</t>
  </si>
  <si>
    <t>Silage Pile Length (ft) =</t>
  </si>
  <si>
    <t>Silo Bag Length (ft) =</t>
  </si>
  <si>
    <t>Silo Bag Diameter (ft) =</t>
  </si>
  <si>
    <t>Silage Bale Length (ft) =</t>
  </si>
  <si>
    <t>Silage Bale Diameter (ft) =</t>
  </si>
  <si>
    <t>Silage Bale Avg. Width (ft) =</t>
  </si>
  <si>
    <t>Dry Hay Bale Length (ft) =</t>
  </si>
  <si>
    <t>Dry Hay Bale Diameter (ft) =</t>
  </si>
  <si>
    <t>Dry Hay Bale Av. Width (ft) =</t>
  </si>
  <si>
    <t>INFORMATION  ABOUT  THIS  ANALYSIS</t>
  </si>
  <si>
    <t xml:space="preserve">Number Tower Silos = </t>
  </si>
  <si>
    <t xml:space="preserve">Number Bunker Silos = </t>
  </si>
  <si>
    <t>Number Dry Hay Bales =</t>
  </si>
  <si>
    <t>Number Silage Bales =</t>
  </si>
  <si>
    <t>All Labor</t>
  </si>
  <si>
    <t>Blade/</t>
  </si>
  <si>
    <t>Wrapper/ Blower</t>
  </si>
  <si>
    <t xml:space="preserve">Gary G. Frank </t>
  </si>
  <si>
    <t>not user changeable so equations in the cells are protected.</t>
  </si>
  <si>
    <t>Steel/Glass Tower (OL) filled with 55% moisture feed; all other silage at 65%, dry hay at 15%.</t>
  </si>
  <si>
    <t>Tower Silo Fill Labor (Person-HR/yr)</t>
  </si>
  <si>
    <t>Labor Cost     ($10/Person-HR)</t>
  </si>
  <si>
    <t>Depreciation</t>
  </si>
  <si>
    <t>Silage Pile Fill Labor(Man-HR/yr)</t>
  </si>
  <si>
    <t>Silage Pile Cover Labor(Man-HR/yr)</t>
  </si>
  <si>
    <t>Silage Pile Empty Labor(Man-HR/Yr)</t>
  </si>
  <si>
    <t>Silage Bagger Fill Labor(Man-HR/yr)</t>
  </si>
  <si>
    <t>Unwrap Silage Bag Labor(Man-HR/yr)</t>
  </si>
  <si>
    <t>Silage Bags Empty Labor(Man-HR/yr)</t>
  </si>
  <si>
    <t>Bunker Silo Empty Labor(Man-HR/yr)</t>
  </si>
  <si>
    <t>Fuel Cost   ($1.00/Gal)</t>
  </si>
  <si>
    <t>Large Rectangular: not known</t>
  </si>
  <si>
    <t>Automaticly transferred to  Inputs Cell B24</t>
  </si>
  <si>
    <t xml:space="preserve">Large Round: 7.5-12.5 lbs DM/cu ft, </t>
  </si>
  <si>
    <t>Bunker Fill Rate (8-50 T DM/Person-hr) =</t>
  </si>
  <si>
    <t>Tractor Used to Uncover Pile? (yes or no)=</t>
  </si>
  <si>
    <t>Travel Speed Transporting Along Bag (MPH) =</t>
  </si>
  <si>
    <t>cu ft</t>
  </si>
  <si>
    <t>Pile Fill Rate (8-50 TDM/ Person-HR)=</t>
  </si>
  <si>
    <t>POSSIBLE BUNKER SILOS</t>
  </si>
  <si>
    <t>DESIGN CRITERIA</t>
  </si>
  <si>
    <t>This Forage(%)</t>
  </si>
  <si>
    <t>See Help (E77-E97)</t>
  </si>
  <si>
    <t>See Help (E41-E70)</t>
  </si>
  <si>
    <t>See Help (E155-E205)</t>
  </si>
  <si>
    <t>See Help (E1-E39)</t>
  </si>
  <si>
    <t>See Help (E115-E143)</t>
  </si>
  <si>
    <t>hay</t>
  </si>
  <si>
    <t>D:\BJHSpreadsheet\excel\Frank\Holmes4.xls</t>
  </si>
  <si>
    <t>Surface</t>
  </si>
  <si>
    <t xml:space="preserve">  Concrete= 3%</t>
  </si>
  <si>
    <t xml:space="preserve">Number Silo Bags = </t>
  </si>
  <si>
    <t>Number Of Silo Bags</t>
  </si>
  <si>
    <t>Average Length of Silage in Each Bunker(ft)=</t>
  </si>
  <si>
    <t>Average Pile Length (feet)=</t>
  </si>
  <si>
    <t>Calculated Total Weight (lbs DM)</t>
  </si>
  <si>
    <t xml:space="preserve">Time Used </t>
  </si>
  <si>
    <t>Automaticly Entered in Inputs Cell B23</t>
  </si>
  <si>
    <t>Automaticly Entered in Inputs Cell I39</t>
  </si>
  <si>
    <t>Automaticly Entered in Inputs Cell I40</t>
  </si>
  <si>
    <t>Automaticly Entered in Inputs Cell I41</t>
  </si>
  <si>
    <t>Automatically Entered in Inputs Cell C46</t>
  </si>
  <si>
    <t>Automatically Entered in Inputs Cell C45</t>
  </si>
  <si>
    <t>Automatically Entered in Inputs Cell B26</t>
  </si>
  <si>
    <t>Automatically Entered in Inputs Cell C47</t>
  </si>
  <si>
    <t>Automatically Entered in Inputs Cell I46</t>
  </si>
  <si>
    <t>Automatically Entered in Inputs Cell I45</t>
  </si>
  <si>
    <t>Automatically Entered in Inputs Cell B25</t>
  </si>
  <si>
    <t>Automatically Entered in Inputs Cell I47</t>
  </si>
  <si>
    <t>Automaticly transferred to Inputs Cell I32</t>
  </si>
  <si>
    <t>From Inputs Cell B14</t>
  </si>
  <si>
    <t>Automaticly transferred to Inputs Cell I31</t>
  </si>
  <si>
    <t>Automaticly transferred to  Inputs Cell I33</t>
  </si>
  <si>
    <t>Automaticly transferred to  Inputs Cell I34</t>
  </si>
  <si>
    <t>Automaticly transferred to  Inputs Cell I35</t>
  </si>
  <si>
    <t>Automaticly transferred to  Inputs Cell B22</t>
  </si>
  <si>
    <t>Automaticly transferred to  Inputs Cell C39</t>
  </si>
  <si>
    <t>Automaticly transferred to  Inputs Cell C40</t>
  </si>
  <si>
    <t>Automaticly transferred to  Inputs Cell C41</t>
  </si>
  <si>
    <t>Bale Stacking Volume Efficiency (%) (suggested values to right)=</t>
  </si>
  <si>
    <t>From Inputs cell B14</t>
  </si>
  <si>
    <t>D:\BJHSpreadsheet\excel\Frank\cstforsto5.xls</t>
  </si>
  <si>
    <t>5/1/2003 Revisions</t>
  </si>
  <si>
    <t>Wrap &amp; Load  Silage Bales</t>
  </si>
  <si>
    <t>Unload Silage Bales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</si>
</sst>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mmmm\ d\,\ yyyy"/>
    <numFmt numFmtId="177" formatCode="&quot;$&quot;#\,###."/>
    <numFmt numFmtId="178" formatCode="&quot;$&quot;\,###."/>
    <numFmt numFmtId="179" formatCode="0.0%"/>
    <numFmt numFmtId="180" formatCode="_(&quot;$&quot;* #,##0.0000_);_(&quot;$&quot;* \(#,##0.0000\);_(&quot;$&quot;* &quot;-&quot;??_);_(@_)"/>
    <numFmt numFmtId="181" formatCode="0.000_)"/>
    <numFmt numFmtId="182" formatCode="0.0000_)"/>
    <numFmt numFmtId="183" formatCode="0.00000_)"/>
    <numFmt numFmtId="184" formatCode="&quot;$&quot;#,##0.00"/>
    <numFmt numFmtId="185" formatCode="&quot;$&quot;#,##0"/>
    <numFmt numFmtId="186" formatCode="&quot;$&quot;#,##0.00\ ;\(&quot;$&quot;#,##0.00\)"/>
    <numFmt numFmtId="187" formatCode="&quot;$&quot;#,##0\ ;\(&quot;$&quot;#,##0\)"/>
    <numFmt numFmtId="188" formatCode="&quot;$&quot;#,##0.000"/>
    <numFmt numFmtId="189" formatCode="&quot;$&quot;#,##0.000\ ;\(&quot;$&quot;#,##0.000\)"/>
    <numFmt numFmtId="190" formatCode="#,##0.000"/>
  </numFmts>
  <fonts count="5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12"/>
      <color indexed="9"/>
      <name val="Helv"/>
      <family val="0"/>
    </font>
    <font>
      <sz val="12"/>
      <color indexed="10"/>
      <name val="Helv"/>
      <family val="0"/>
    </font>
    <font>
      <sz val="12"/>
      <color indexed="8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18"/>
      <name val="Arial"/>
      <family val="2"/>
    </font>
    <font>
      <b/>
      <sz val="14"/>
      <name val="Helv"/>
      <family val="0"/>
    </font>
    <font>
      <b/>
      <sz val="12"/>
      <color indexed="10"/>
      <name val="Helv"/>
      <family val="0"/>
    </font>
    <font>
      <sz val="8"/>
      <name val="Helv"/>
      <family val="0"/>
    </font>
    <font>
      <sz val="11"/>
      <name val="Helv"/>
      <family val="0"/>
    </font>
    <font>
      <sz val="12"/>
      <color indexed="32"/>
      <name val="Helv"/>
      <family val="0"/>
    </font>
    <font>
      <b/>
      <sz val="12"/>
      <color indexed="53"/>
      <name val="Helv"/>
      <family val="0"/>
    </font>
    <font>
      <sz val="12"/>
      <color indexed="53"/>
      <name val="Helv"/>
      <family val="0"/>
    </font>
    <font>
      <b/>
      <sz val="14"/>
      <name val="Arial"/>
      <family val="0"/>
    </font>
    <font>
      <b/>
      <sz val="12"/>
      <color indexed="10"/>
      <name val="Arial"/>
      <family val="2"/>
    </font>
    <font>
      <sz val="10"/>
      <color indexed="12"/>
      <name val="Helv"/>
      <family val="0"/>
    </font>
    <font>
      <b/>
      <sz val="12"/>
      <color indexed="8"/>
      <name val="Helv"/>
      <family val="0"/>
    </font>
    <font>
      <b/>
      <sz val="16"/>
      <name val="Helv"/>
      <family val="0"/>
    </font>
    <font>
      <sz val="10"/>
      <color indexed="8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45"/>
      </patternFill>
    </fill>
    <fill>
      <patternFill patternType="gray0625">
        <fgColor indexed="13"/>
        <bgColor indexed="26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 horizontal="fill"/>
      <protection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69" fontId="0" fillId="0" borderId="0" xfId="44" applyNumberFormat="1" applyFont="1" applyBorder="1" applyAlignment="1" applyProtection="1">
      <alignment/>
      <protection/>
    </xf>
    <xf numFmtId="169" fontId="0" fillId="0" borderId="0" xfId="44" applyNumberFormat="1" applyFont="1" applyBorder="1" applyAlignment="1" applyProtection="1">
      <alignment horizontal="center"/>
      <protection/>
    </xf>
    <xf numFmtId="169" fontId="0" fillId="0" borderId="0" xfId="44" applyNumberFormat="1" applyFont="1" applyBorder="1" applyAlignment="1" applyProtection="1">
      <alignment horizontal="right"/>
      <protection/>
    </xf>
    <xf numFmtId="44" fontId="0" fillId="0" borderId="0" xfId="44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44" fontId="6" fillId="0" borderId="0" xfId="44" applyFont="1" applyBorder="1" applyAlignment="1" applyProtection="1">
      <alignment horizontal="center"/>
      <protection/>
    </xf>
    <xf numFmtId="164" fontId="0" fillId="0" borderId="17" xfId="0" applyNumberFormat="1" applyBorder="1" applyAlignment="1" applyProtection="1">
      <alignment horizontal="right"/>
      <protection/>
    </xf>
    <xf numFmtId="0" fontId="0" fillId="0" borderId="18" xfId="0" applyBorder="1" applyAlignment="1">
      <alignment/>
    </xf>
    <xf numFmtId="164" fontId="0" fillId="0" borderId="19" xfId="0" applyNumberFormat="1" applyBorder="1" applyAlignment="1" applyProtection="1">
      <alignment horizontal="right"/>
      <protection/>
    </xf>
    <xf numFmtId="164" fontId="0" fillId="0" borderId="20" xfId="0" applyNumberForma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4" fontId="0" fillId="0" borderId="21" xfId="0" applyNumberForma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/>
      <protection/>
    </xf>
    <xf numFmtId="165" fontId="0" fillId="0" borderId="20" xfId="0" applyNumberForma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65" fontId="9" fillId="0" borderId="0" xfId="0" applyNumberFormat="1" applyFont="1" applyBorder="1" applyAlignment="1" applyProtection="1">
      <alignment/>
      <protection/>
    </xf>
    <xf numFmtId="177" fontId="4" fillId="0" borderId="23" xfId="44" applyNumberFormat="1" applyFont="1" applyBorder="1" applyAlignment="1" applyProtection="1">
      <alignment/>
      <protection/>
    </xf>
    <xf numFmtId="43" fontId="4" fillId="0" borderId="23" xfId="42" applyFont="1" applyBorder="1" applyAlignment="1" applyProtection="1">
      <alignment/>
      <protection/>
    </xf>
    <xf numFmtId="169" fontId="4" fillId="0" borderId="24" xfId="44" applyNumberFormat="1" applyFont="1" applyBorder="1" applyAlignment="1" applyProtection="1">
      <alignment/>
      <protection/>
    </xf>
    <xf numFmtId="177" fontId="4" fillId="0" borderId="25" xfId="44" applyNumberFormat="1" applyFont="1" applyBorder="1" applyAlignment="1" applyProtection="1">
      <alignment/>
      <protection/>
    </xf>
    <xf numFmtId="43" fontId="4" fillId="0" borderId="25" xfId="42" applyFont="1" applyBorder="1" applyAlignment="1" applyProtection="1">
      <alignment/>
      <protection/>
    </xf>
    <xf numFmtId="169" fontId="4" fillId="0" borderId="26" xfId="44" applyNumberFormat="1" applyFont="1" applyBorder="1" applyAlignment="1" applyProtection="1">
      <alignment/>
      <protection/>
    </xf>
    <xf numFmtId="177" fontId="4" fillId="0" borderId="27" xfId="44" applyNumberFormat="1" applyFont="1" applyBorder="1" applyAlignment="1" applyProtection="1">
      <alignment/>
      <protection/>
    </xf>
    <xf numFmtId="43" fontId="4" fillId="0" borderId="27" xfId="42" applyFont="1" applyBorder="1" applyAlignment="1" applyProtection="1">
      <alignment/>
      <protection/>
    </xf>
    <xf numFmtId="169" fontId="4" fillId="0" borderId="28" xfId="44" applyNumberFormat="1" applyFont="1" applyBorder="1" applyAlignment="1" applyProtection="1">
      <alignment/>
      <protection/>
    </xf>
    <xf numFmtId="0" fontId="0" fillId="33" borderId="0" xfId="0" applyFill="1" applyAlignment="1" applyProtection="1">
      <alignment horizontal="fill"/>
      <protection/>
    </xf>
    <xf numFmtId="0" fontId="0" fillId="34" borderId="0" xfId="0" applyFill="1" applyAlignment="1" applyProtection="1">
      <alignment horizontal="right"/>
      <protection/>
    </xf>
    <xf numFmtId="164" fontId="0" fillId="34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0" xfId="0" applyFill="1" applyAlignment="1" applyProtection="1" quotePrefix="1">
      <alignment/>
      <protection/>
    </xf>
    <xf numFmtId="0" fontId="2" fillId="36" borderId="25" xfId="0" applyFont="1" applyFill="1" applyBorder="1" applyAlignment="1" applyProtection="1">
      <alignment horizontal="right"/>
      <protection locked="0"/>
    </xf>
    <xf numFmtId="169" fontId="2" fillId="36" borderId="25" xfId="44" applyNumberFormat="1" applyFont="1" applyFill="1" applyBorder="1" applyAlignment="1" applyProtection="1">
      <alignment horizontal="right"/>
      <protection locked="0"/>
    </xf>
    <xf numFmtId="177" fontId="2" fillId="36" borderId="23" xfId="44" applyNumberFormat="1" applyFont="1" applyFill="1" applyBorder="1" applyAlignment="1" applyProtection="1">
      <alignment/>
      <protection locked="0"/>
    </xf>
    <xf numFmtId="43" fontId="2" fillId="36" borderId="23" xfId="42" applyFont="1" applyFill="1" applyBorder="1" applyAlignment="1" applyProtection="1">
      <alignment/>
      <protection locked="0"/>
    </xf>
    <xf numFmtId="177" fontId="2" fillId="36" borderId="25" xfId="44" applyNumberFormat="1" applyFont="1" applyFill="1" applyBorder="1" applyAlignment="1" applyProtection="1">
      <alignment/>
      <protection locked="0"/>
    </xf>
    <xf numFmtId="43" fontId="2" fillId="36" borderId="25" xfId="42" applyFont="1" applyFill="1" applyBorder="1" applyAlignment="1" applyProtection="1">
      <alignment/>
      <protection locked="0"/>
    </xf>
    <xf numFmtId="44" fontId="2" fillId="36" borderId="27" xfId="44" applyFont="1" applyFill="1" applyBorder="1" applyAlignment="1" applyProtection="1">
      <alignment/>
      <protection locked="0"/>
    </xf>
    <xf numFmtId="43" fontId="2" fillId="36" borderId="27" xfId="42" applyFont="1" applyFill="1" applyBorder="1" applyAlignment="1" applyProtection="1">
      <alignment/>
      <protection locked="0"/>
    </xf>
    <xf numFmtId="0" fontId="2" fillId="36" borderId="24" xfId="0" applyFont="1" applyFill="1" applyBorder="1" applyAlignment="1" applyProtection="1">
      <alignment horizontal="center"/>
      <protection locked="0"/>
    </xf>
    <xf numFmtId="0" fontId="2" fillId="36" borderId="26" xfId="0" applyFont="1" applyFill="1" applyBorder="1" applyAlignment="1" applyProtection="1">
      <alignment horizontal="center"/>
      <protection locked="0"/>
    </xf>
    <xf numFmtId="0" fontId="2" fillId="36" borderId="28" xfId="0" applyFont="1" applyFill="1" applyBorder="1" applyAlignment="1" applyProtection="1">
      <alignment horizontal="center"/>
      <protection locked="0"/>
    </xf>
    <xf numFmtId="0" fontId="2" fillId="36" borderId="23" xfId="0" applyFont="1" applyFill="1" applyBorder="1" applyAlignment="1" applyProtection="1">
      <alignment horizontal="right"/>
      <protection locked="0"/>
    </xf>
    <xf numFmtId="0" fontId="2" fillId="36" borderId="27" xfId="0" applyFont="1" applyFill="1" applyBorder="1" applyAlignment="1" applyProtection="1">
      <alignment horizontal="right"/>
      <protection locked="0"/>
    </xf>
    <xf numFmtId="177" fontId="2" fillId="36" borderId="27" xfId="44" applyNumberFormat="1" applyFont="1" applyFill="1" applyBorder="1" applyAlignment="1" applyProtection="1">
      <alignment/>
      <protection locked="0"/>
    </xf>
    <xf numFmtId="0" fontId="2" fillId="36" borderId="29" xfId="0" applyFont="1" applyFill="1" applyBorder="1" applyAlignment="1" applyProtection="1">
      <alignment horizontal="right"/>
      <protection locked="0"/>
    </xf>
    <xf numFmtId="0" fontId="2" fillId="36" borderId="26" xfId="0" applyFont="1" applyFill="1" applyBorder="1" applyAlignment="1" applyProtection="1">
      <alignment horizontal="right"/>
      <protection locked="0"/>
    </xf>
    <xf numFmtId="0" fontId="2" fillId="36" borderId="28" xfId="0" applyFont="1" applyFill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/>
      <protection/>
    </xf>
    <xf numFmtId="184" fontId="2" fillId="36" borderId="26" xfId="0" applyNumberFormat="1" applyFont="1" applyFill="1" applyBorder="1" applyAlignment="1" applyProtection="1">
      <alignment/>
      <protection locked="0"/>
    </xf>
    <xf numFmtId="184" fontId="2" fillId="36" borderId="28" xfId="0" applyNumberFormat="1" applyFont="1" applyFill="1" applyBorder="1" applyAlignment="1" applyProtection="1">
      <alignment/>
      <protection locked="0"/>
    </xf>
    <xf numFmtId="7" fontId="2" fillId="36" borderId="24" xfId="44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/>
    </xf>
    <xf numFmtId="10" fontId="4" fillId="37" borderId="30" xfId="57" applyNumberFormat="1" applyFont="1" applyFill="1" applyBorder="1" applyAlignment="1" applyProtection="1">
      <alignment horizontal="right"/>
      <protection/>
    </xf>
    <xf numFmtId="0" fontId="2" fillId="36" borderId="10" xfId="0" applyFont="1" applyFill="1" applyBorder="1" applyAlignment="1" applyProtection="1">
      <alignment horizontal="right"/>
      <protection locked="0"/>
    </xf>
    <xf numFmtId="0" fontId="2" fillId="36" borderId="31" xfId="0" applyFont="1" applyFill="1" applyBorder="1" applyAlignment="1" applyProtection="1">
      <alignment horizontal="right"/>
      <protection locked="0"/>
    </xf>
    <xf numFmtId="0" fontId="2" fillId="36" borderId="11" xfId="0" applyFont="1" applyFill="1" applyBorder="1" applyAlignment="1" applyProtection="1">
      <alignment horizontal="right"/>
      <protection locked="0"/>
    </xf>
    <xf numFmtId="0" fontId="2" fillId="36" borderId="12" xfId="0" applyFont="1" applyFill="1" applyBorder="1" applyAlignment="1" applyProtection="1">
      <alignment horizontal="right"/>
      <protection locked="0"/>
    </xf>
    <xf numFmtId="0" fontId="2" fillId="36" borderId="32" xfId="0" applyFont="1" applyFill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/>
    </xf>
    <xf numFmtId="166" fontId="2" fillId="36" borderId="0" xfId="0" applyNumberFormat="1" applyFont="1" applyFill="1" applyAlignment="1" applyProtection="1">
      <alignment horizontal="right"/>
      <protection locked="0"/>
    </xf>
    <xf numFmtId="166" fontId="2" fillId="36" borderId="0" xfId="0" applyNumberFormat="1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6" fontId="13" fillId="0" borderId="0" xfId="0" applyNumberFormat="1" applyFont="1" applyAlignment="1" applyProtection="1">
      <alignment/>
      <protection/>
    </xf>
    <xf numFmtId="166" fontId="0" fillId="0" borderId="21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6" fontId="0" fillId="0" borderId="18" xfId="0" applyNumberFormat="1" applyBorder="1" applyAlignment="1" applyProtection="1">
      <alignment/>
      <protection/>
    </xf>
    <xf numFmtId="164" fontId="14" fillId="0" borderId="22" xfId="0" applyNumberFormat="1" applyFont="1" applyBorder="1" applyAlignment="1" applyProtection="1">
      <alignment/>
      <protection/>
    </xf>
    <xf numFmtId="164" fontId="14" fillId="0" borderId="19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" fillId="36" borderId="24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4" fontId="4" fillId="37" borderId="26" xfId="0" applyNumberFormat="1" applyFont="1" applyFill="1" applyBorder="1" applyAlignment="1" applyProtection="1">
      <alignment/>
      <protection/>
    </xf>
    <xf numFmtId="164" fontId="4" fillId="0" borderId="26" xfId="0" applyNumberFormat="1" applyFont="1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/>
      <protection/>
    </xf>
    <xf numFmtId="164" fontId="4" fillId="37" borderId="28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" fontId="15" fillId="37" borderId="0" xfId="0" applyNumberFormat="1" applyFont="1" applyFill="1" applyAlignment="1" applyProtection="1">
      <alignment/>
      <protection/>
    </xf>
    <xf numFmtId="185" fontId="10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fill"/>
      <protection/>
    </xf>
    <xf numFmtId="185" fontId="15" fillId="0" borderId="0" xfId="0" applyNumberFormat="1" applyFont="1" applyAlignment="1" applyProtection="1">
      <alignment/>
      <protection/>
    </xf>
    <xf numFmtId="0" fontId="2" fillId="38" borderId="0" xfId="0" applyFont="1" applyFill="1" applyAlignment="1" applyProtection="1">
      <alignment/>
      <protection locked="0"/>
    </xf>
    <xf numFmtId="165" fontId="2" fillId="38" borderId="0" xfId="0" applyNumberFormat="1" applyFont="1" applyFill="1" applyAlignment="1" applyProtection="1">
      <alignment/>
      <protection locked="0"/>
    </xf>
    <xf numFmtId="184" fontId="2" fillId="38" borderId="0" xfId="0" applyNumberFormat="1" applyFont="1" applyFill="1" applyAlignment="1" applyProtection="1">
      <alignment/>
      <protection locked="0"/>
    </xf>
    <xf numFmtId="188" fontId="2" fillId="38" borderId="0" xfId="0" applyNumberFormat="1" applyFont="1" applyFill="1" applyAlignment="1" applyProtection="1">
      <alignment/>
      <protection locked="0"/>
    </xf>
    <xf numFmtId="0" fontId="2" fillId="39" borderId="0" xfId="0" applyFont="1" applyFill="1" applyAlignment="1" applyProtection="1">
      <alignment/>
      <protection locked="0"/>
    </xf>
    <xf numFmtId="0" fontId="0" fillId="0" borderId="34" xfId="0" applyBorder="1" applyAlignment="1" applyProtection="1">
      <alignment horizontal="right"/>
      <protection/>
    </xf>
    <xf numFmtId="1" fontId="10" fillId="0" borderId="0" xfId="0" applyNumberFormat="1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169" fontId="10" fillId="0" borderId="35" xfId="44" applyNumberFormat="1" applyFont="1" applyBorder="1" applyAlignment="1" applyProtection="1">
      <alignment/>
      <protection/>
    </xf>
    <xf numFmtId="169" fontId="10" fillId="0" borderId="23" xfId="44" applyNumberFormat="1" applyFont="1" applyBorder="1" applyAlignment="1" applyProtection="1">
      <alignment/>
      <protection/>
    </xf>
    <xf numFmtId="169" fontId="10" fillId="0" borderId="23" xfId="44" applyNumberFormat="1" applyFont="1" applyBorder="1" applyAlignment="1" applyProtection="1">
      <alignment horizontal="center"/>
      <protection/>
    </xf>
    <xf numFmtId="169" fontId="10" fillId="0" borderId="23" xfId="44" applyNumberFormat="1" applyFont="1" applyBorder="1" applyAlignment="1" applyProtection="1">
      <alignment horizontal="right"/>
      <protection/>
    </xf>
    <xf numFmtId="169" fontId="10" fillId="0" borderId="24" xfId="44" applyNumberFormat="1" applyFont="1" applyBorder="1" applyAlignment="1" applyProtection="1">
      <alignment horizontal="right"/>
      <protection/>
    </xf>
    <xf numFmtId="169" fontId="10" fillId="0" borderId="36" xfId="44" applyNumberFormat="1" applyFont="1" applyBorder="1" applyAlignment="1" applyProtection="1">
      <alignment/>
      <protection/>
    </xf>
    <xf numFmtId="169" fontId="10" fillId="0" borderId="25" xfId="44" applyNumberFormat="1" applyFont="1" applyBorder="1" applyAlignment="1" applyProtection="1">
      <alignment/>
      <protection/>
    </xf>
    <xf numFmtId="169" fontId="10" fillId="0" borderId="25" xfId="44" applyNumberFormat="1" applyFont="1" applyBorder="1" applyAlignment="1" applyProtection="1">
      <alignment horizontal="center"/>
      <protection/>
    </xf>
    <xf numFmtId="169" fontId="10" fillId="0" borderId="25" xfId="44" applyNumberFormat="1" applyFont="1" applyBorder="1" applyAlignment="1" applyProtection="1">
      <alignment horizontal="right"/>
      <protection/>
    </xf>
    <xf numFmtId="169" fontId="10" fillId="0" borderId="26" xfId="44" applyNumberFormat="1" applyFont="1" applyBorder="1" applyAlignment="1" applyProtection="1">
      <alignment horizontal="right"/>
      <protection/>
    </xf>
    <xf numFmtId="169" fontId="10" fillId="0" borderId="37" xfId="44" applyNumberFormat="1" applyFont="1" applyBorder="1" applyAlignment="1" applyProtection="1">
      <alignment/>
      <protection/>
    </xf>
    <xf numFmtId="169" fontId="10" fillId="0" borderId="27" xfId="44" applyNumberFormat="1" applyFont="1" applyBorder="1" applyAlignment="1" applyProtection="1">
      <alignment/>
      <protection/>
    </xf>
    <xf numFmtId="169" fontId="10" fillId="0" borderId="27" xfId="44" applyNumberFormat="1" applyFont="1" applyBorder="1" applyAlignment="1" applyProtection="1">
      <alignment horizontal="center"/>
      <protection/>
    </xf>
    <xf numFmtId="169" fontId="10" fillId="0" borderId="27" xfId="44" applyNumberFormat="1" applyFont="1" applyBorder="1" applyAlignment="1" applyProtection="1">
      <alignment horizontal="right"/>
      <protection/>
    </xf>
    <xf numFmtId="169" fontId="10" fillId="0" borderId="28" xfId="44" applyNumberFormat="1" applyFont="1" applyBorder="1" applyAlignment="1" applyProtection="1">
      <alignment horizontal="right"/>
      <protection/>
    </xf>
    <xf numFmtId="169" fontId="10" fillId="0" borderId="35" xfId="44" applyNumberFormat="1" applyFont="1" applyBorder="1" applyAlignment="1" applyProtection="1">
      <alignment horizontal="right"/>
      <protection/>
    </xf>
    <xf numFmtId="169" fontId="10" fillId="0" borderId="24" xfId="44" applyNumberFormat="1" applyFont="1" applyBorder="1" applyAlignment="1" applyProtection="1">
      <alignment horizontal="center"/>
      <protection/>
    </xf>
    <xf numFmtId="169" fontId="10" fillId="0" borderId="36" xfId="44" applyNumberFormat="1" applyFont="1" applyBorder="1" applyAlignment="1" applyProtection="1">
      <alignment horizontal="right"/>
      <protection/>
    </xf>
    <xf numFmtId="169" fontId="10" fillId="0" borderId="26" xfId="44" applyNumberFormat="1" applyFont="1" applyBorder="1" applyAlignment="1" applyProtection="1">
      <alignment horizontal="center"/>
      <protection/>
    </xf>
    <xf numFmtId="169" fontId="10" fillId="0" borderId="37" xfId="44" applyNumberFormat="1" applyFont="1" applyBorder="1" applyAlignment="1" applyProtection="1">
      <alignment horizontal="right"/>
      <protection/>
    </xf>
    <xf numFmtId="169" fontId="10" fillId="0" borderId="28" xfId="44" applyNumberFormat="1" applyFont="1" applyBorder="1" applyAlignment="1" applyProtection="1">
      <alignment horizontal="center"/>
      <protection/>
    </xf>
    <xf numFmtId="44" fontId="10" fillId="0" borderId="38" xfId="44" applyFont="1" applyBorder="1" applyAlignment="1" applyProtection="1">
      <alignment horizontal="center"/>
      <protection/>
    </xf>
    <xf numFmtId="0" fontId="10" fillId="0" borderId="0" xfId="44" applyNumberFormat="1" applyFont="1" applyBorder="1" applyAlignment="1" applyProtection="1">
      <alignment horizontal="center"/>
      <protection/>
    </xf>
    <xf numFmtId="44" fontId="10" fillId="0" borderId="39" xfId="44" applyFont="1" applyBorder="1" applyAlignment="1" applyProtection="1">
      <alignment horizontal="right"/>
      <protection/>
    </xf>
    <xf numFmtId="44" fontId="10" fillId="0" borderId="40" xfId="44" applyFont="1" applyBorder="1" applyAlignment="1" applyProtection="1">
      <alignment horizontal="center"/>
      <protection/>
    </xf>
    <xf numFmtId="44" fontId="10" fillId="0" borderId="41" xfId="44" applyFont="1" applyBorder="1" applyAlignment="1" applyProtection="1">
      <alignment horizontal="right"/>
      <protection/>
    </xf>
    <xf numFmtId="44" fontId="10" fillId="0" borderId="42" xfId="44" applyFont="1" applyBorder="1" applyAlignment="1" applyProtection="1">
      <alignment horizontal="center"/>
      <protection/>
    </xf>
    <xf numFmtId="44" fontId="10" fillId="0" borderId="43" xfId="44" applyFont="1" applyBorder="1" applyAlignment="1" applyProtection="1">
      <alignment horizontal="right"/>
      <protection/>
    </xf>
    <xf numFmtId="169" fontId="0" fillId="37" borderId="0" xfId="44" applyNumberFormat="1" applyFont="1" applyFill="1" applyBorder="1" applyAlignment="1" applyProtection="1">
      <alignment horizontal="right"/>
      <protection/>
    </xf>
    <xf numFmtId="164" fontId="6" fillId="40" borderId="0" xfId="0" applyNumberFormat="1" applyFont="1" applyFill="1" applyAlignment="1" applyProtection="1">
      <alignment horizontal="center"/>
      <protection/>
    </xf>
    <xf numFmtId="169" fontId="6" fillId="41" borderId="0" xfId="44" applyNumberFormat="1" applyFont="1" applyFill="1" applyBorder="1" applyAlignment="1" applyProtection="1">
      <alignment horizontal="left"/>
      <protection/>
    </xf>
    <xf numFmtId="169" fontId="6" fillId="41" borderId="0" xfId="44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4" fontId="2" fillId="0" borderId="0" xfId="44" applyNumberFormat="1" applyFont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164" fontId="4" fillId="42" borderId="24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4" fontId="4" fillId="37" borderId="24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5" fontId="4" fillId="42" borderId="26" xfId="44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5" fontId="4" fillId="37" borderId="26" xfId="44" applyNumberFormat="1" applyFont="1" applyFill="1" applyBorder="1" applyAlignment="1" applyProtection="1">
      <alignment horizontal="right"/>
      <protection/>
    </xf>
    <xf numFmtId="164" fontId="4" fillId="42" borderId="2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64" fontId="4" fillId="42" borderId="44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4" fontId="4" fillId="42" borderId="28" xfId="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right"/>
      <protection/>
    </xf>
    <xf numFmtId="0" fontId="0" fillId="0" borderId="45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169" fontId="4" fillId="0" borderId="23" xfId="44" applyNumberFormat="1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169" fontId="4" fillId="0" borderId="24" xfId="44" applyNumberFormat="1" applyFont="1" applyBorder="1" applyAlignment="1" applyProtection="1">
      <alignment horizontal="right"/>
      <protection/>
    </xf>
    <xf numFmtId="1" fontId="4" fillId="0" borderId="23" xfId="44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1" fontId="4" fillId="0" borderId="26" xfId="0" applyNumberFormat="1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1" fontId="4" fillId="0" borderId="28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22" xfId="0" applyBorder="1" applyAlignment="1" applyProtection="1">
      <alignment horizontal="right"/>
      <protection/>
    </xf>
    <xf numFmtId="0" fontId="0" fillId="0" borderId="47" xfId="0" applyBorder="1" applyAlignment="1" applyProtection="1">
      <alignment horizontal="right"/>
      <protection/>
    </xf>
    <xf numFmtId="177" fontId="4" fillId="0" borderId="25" xfId="44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48" xfId="0" applyBorder="1" applyAlignment="1" applyProtection="1">
      <alignment horizontal="right"/>
      <protection/>
    </xf>
    <xf numFmtId="0" fontId="0" fillId="0" borderId="49" xfId="0" applyFont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/>
      <protection/>
    </xf>
    <xf numFmtId="0" fontId="0" fillId="0" borderId="50" xfId="0" applyFont="1" applyBorder="1" applyAlignment="1" applyProtection="1">
      <alignment horizontal="right"/>
      <protection/>
    </xf>
    <xf numFmtId="169" fontId="4" fillId="37" borderId="26" xfId="44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2" fillId="36" borderId="28" xfId="0" applyFont="1" applyFill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19" xfId="0" applyFont="1" applyBorder="1" applyAlignment="1" applyProtection="1">
      <alignment horizontal="right"/>
      <protection/>
    </xf>
    <xf numFmtId="10" fontId="4" fillId="0" borderId="25" xfId="57" applyNumberFormat="1" applyFont="1" applyBorder="1" applyAlignment="1" applyProtection="1">
      <alignment/>
      <protection/>
    </xf>
    <xf numFmtId="10" fontId="4" fillId="0" borderId="26" xfId="57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right"/>
      <protection/>
    </xf>
    <xf numFmtId="10" fontId="4" fillId="0" borderId="27" xfId="57" applyNumberFormat="1" applyFont="1" applyBorder="1" applyAlignment="1" applyProtection="1">
      <alignment/>
      <protection/>
    </xf>
    <xf numFmtId="10" fontId="4" fillId="0" borderId="28" xfId="57" applyNumberFormat="1" applyFont="1" applyBorder="1" applyAlignment="1" applyProtection="1">
      <alignment/>
      <protection/>
    </xf>
    <xf numFmtId="10" fontId="4" fillId="37" borderId="51" xfId="0" applyNumberFormat="1" applyFont="1" applyFill="1" applyBorder="1" applyAlignment="1" applyProtection="1">
      <alignment/>
      <protection/>
    </xf>
    <xf numFmtId="186" fontId="2" fillId="39" borderId="0" xfId="0" applyNumberFormat="1" applyFont="1" applyFill="1" applyAlignment="1" applyProtection="1">
      <alignment/>
      <protection locked="0"/>
    </xf>
    <xf numFmtId="0" fontId="2" fillId="36" borderId="52" xfId="0" applyFont="1" applyFill="1" applyBorder="1" applyAlignment="1" applyProtection="1">
      <alignment horizontal="right"/>
      <protection locked="0"/>
    </xf>
    <xf numFmtId="0" fontId="0" fillId="0" borderId="53" xfId="0" applyFont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164" fontId="2" fillId="0" borderId="19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45" xfId="0" applyFont="1" applyBorder="1" applyAlignment="1" applyProtection="1">
      <alignment/>
      <protection/>
    </xf>
    <xf numFmtId="1" fontId="10" fillId="0" borderId="45" xfId="0" applyNumberFormat="1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0" fillId="0" borderId="56" xfId="0" applyFont="1" applyBorder="1" applyAlignment="1" applyProtection="1">
      <alignment/>
      <protection/>
    </xf>
    <xf numFmtId="164" fontId="18" fillId="0" borderId="19" xfId="0" applyNumberFormat="1" applyFont="1" applyBorder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64" fontId="18" fillId="0" borderId="20" xfId="0" applyNumberFormat="1" applyFont="1" applyBorder="1" applyAlignment="1" applyProtection="1">
      <alignment/>
      <protection/>
    </xf>
    <xf numFmtId="164" fontId="18" fillId="0" borderId="18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/>
    </xf>
    <xf numFmtId="0" fontId="9" fillId="0" borderId="20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 horizontal="right"/>
      <protection/>
    </xf>
    <xf numFmtId="0" fontId="0" fillId="33" borderId="53" xfId="0" applyFill="1" applyBorder="1" applyAlignment="1" applyProtection="1">
      <alignment/>
      <protection/>
    </xf>
    <xf numFmtId="164" fontId="2" fillId="33" borderId="54" xfId="0" applyNumberFormat="1" applyFont="1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/>
      <protection/>
    </xf>
    <xf numFmtId="164" fontId="2" fillId="33" borderId="18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1" fontId="2" fillId="36" borderId="23" xfId="0" applyNumberFormat="1" applyFont="1" applyFill="1" applyBorder="1" applyAlignment="1" applyProtection="1">
      <alignment horizontal="center"/>
      <protection locked="0"/>
    </xf>
    <xf numFmtId="1" fontId="2" fillId="36" borderId="25" xfId="0" applyNumberFormat="1" applyFont="1" applyFill="1" applyBorder="1" applyAlignment="1" applyProtection="1">
      <alignment horizontal="center"/>
      <protection locked="0"/>
    </xf>
    <xf numFmtId="1" fontId="2" fillId="36" borderId="27" xfId="0" applyNumberFormat="1" applyFont="1" applyFill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/>
      <protection/>
    </xf>
    <xf numFmtId="0" fontId="4" fillId="0" borderId="5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right"/>
      <protection/>
    </xf>
    <xf numFmtId="0" fontId="6" fillId="40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6" fillId="43" borderId="0" xfId="0" applyFont="1" applyFill="1" applyAlignment="1" applyProtection="1">
      <alignment/>
      <protection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 applyProtection="1">
      <alignment/>
      <protection/>
    </xf>
    <xf numFmtId="0" fontId="0" fillId="34" borderId="0" xfId="0" applyFill="1" applyAlignment="1">
      <alignment horizontal="fill"/>
    </xf>
    <xf numFmtId="0" fontId="5" fillId="33" borderId="18" xfId="0" applyFont="1" applyFill="1" applyBorder="1" applyAlignment="1" applyProtection="1">
      <alignment/>
      <protection/>
    </xf>
    <xf numFmtId="0" fontId="19" fillId="33" borderId="54" xfId="0" applyFont="1" applyFill="1" applyBorder="1" applyAlignment="1" applyProtection="1">
      <alignment/>
      <protection/>
    </xf>
    <xf numFmtId="0" fontId="19" fillId="33" borderId="54" xfId="0" applyFont="1" applyFill="1" applyBorder="1" applyAlignment="1" applyProtection="1">
      <alignment horizontal="right"/>
      <protection/>
    </xf>
    <xf numFmtId="0" fontId="6" fillId="33" borderId="53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165" fontId="0" fillId="40" borderId="0" xfId="0" applyNumberFormat="1" applyFill="1" applyAlignment="1" applyProtection="1">
      <alignment/>
      <protection/>
    </xf>
    <xf numFmtId="164" fontId="0" fillId="40" borderId="0" xfId="0" applyNumberFormat="1" applyFill="1" applyAlignment="1" applyProtection="1">
      <alignment/>
      <protection/>
    </xf>
    <xf numFmtId="166" fontId="0" fillId="40" borderId="0" xfId="0" applyNumberFormat="1" applyFill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right"/>
      <protection/>
    </xf>
    <xf numFmtId="10" fontId="4" fillId="37" borderId="6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0" fontId="2" fillId="36" borderId="23" xfId="57" applyNumberFormat="1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/>
      <protection locked="0"/>
    </xf>
    <xf numFmtId="10" fontId="2" fillId="36" borderId="27" xfId="57" applyNumberFormat="1" applyFont="1" applyFill="1" applyBorder="1" applyAlignment="1" applyProtection="1">
      <alignment/>
      <protection locked="0"/>
    </xf>
    <xf numFmtId="10" fontId="2" fillId="36" borderId="24" xfId="57" applyNumberFormat="1" applyFont="1" applyFill="1" applyBorder="1" applyAlignment="1" applyProtection="1">
      <alignment/>
      <protection locked="0"/>
    </xf>
    <xf numFmtId="10" fontId="2" fillId="36" borderId="25" xfId="57" applyNumberFormat="1" applyFont="1" applyFill="1" applyBorder="1" applyAlignment="1" applyProtection="1">
      <alignment/>
      <protection locked="0"/>
    </xf>
    <xf numFmtId="10" fontId="2" fillId="36" borderId="26" xfId="57" applyNumberFormat="1" applyFont="1" applyFill="1" applyBorder="1" applyAlignment="1" applyProtection="1">
      <alignment/>
      <protection locked="0"/>
    </xf>
    <xf numFmtId="1" fontId="10" fillId="0" borderId="45" xfId="0" applyNumberFormat="1" applyFont="1" applyBorder="1" applyAlignment="1" applyProtection="1">
      <alignment horizontal="right"/>
      <protection/>
    </xf>
    <xf numFmtId="0" fontId="10" fillId="0" borderId="45" xfId="42" applyNumberFormat="1" applyFont="1" applyBorder="1" applyAlignment="1" applyProtection="1">
      <alignment horizontal="right"/>
      <protection/>
    </xf>
    <xf numFmtId="176" fontId="0" fillId="0" borderId="0" xfId="0" applyNumberFormat="1" applyAlignment="1" applyProtection="1">
      <alignment horizontal="left"/>
      <protection/>
    </xf>
    <xf numFmtId="0" fontId="0" fillId="0" borderId="61" xfId="0" applyBorder="1" applyAlignment="1" applyProtection="1">
      <alignment horizontal="right"/>
      <protection/>
    </xf>
    <xf numFmtId="0" fontId="0" fillId="0" borderId="49" xfId="0" applyBorder="1" applyAlignment="1" applyProtection="1">
      <alignment/>
      <protection/>
    </xf>
    <xf numFmtId="0" fontId="0" fillId="0" borderId="62" xfId="0" applyBorder="1" applyAlignment="1" applyProtection="1">
      <alignment horizontal="right"/>
      <protection/>
    </xf>
    <xf numFmtId="0" fontId="10" fillId="0" borderId="24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5" fillId="37" borderId="0" xfId="0" applyFont="1" applyFill="1" applyAlignment="1" applyProtection="1">
      <alignment/>
      <protection/>
    </xf>
    <xf numFmtId="2" fontId="15" fillId="37" borderId="0" xfId="0" applyNumberFormat="1" applyFont="1" applyFill="1" applyAlignment="1" applyProtection="1">
      <alignment/>
      <protection/>
    </xf>
    <xf numFmtId="175" fontId="15" fillId="37" borderId="0" xfId="0" applyNumberFormat="1" applyFont="1" applyFill="1" applyAlignment="1" applyProtection="1">
      <alignment/>
      <protection/>
    </xf>
    <xf numFmtId="1" fontId="1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5" fontId="14" fillId="37" borderId="0" xfId="0" applyNumberFormat="1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87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 applyProtection="1">
      <alignment/>
      <protection/>
    </xf>
    <xf numFmtId="175" fontId="14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0" fillId="37" borderId="0" xfId="0" applyFont="1" applyFill="1" applyAlignment="1" applyProtection="1">
      <alignment/>
      <protection/>
    </xf>
    <xf numFmtId="165" fontId="15" fillId="37" borderId="0" xfId="0" applyNumberFormat="1" applyFont="1" applyFill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1" fontId="15" fillId="37" borderId="0" xfId="0" applyNumberFormat="1" applyFont="1" applyFill="1" applyAlignment="1" applyProtection="1" quotePrefix="1">
      <alignment/>
      <protection/>
    </xf>
    <xf numFmtId="0" fontId="0" fillId="37" borderId="0" xfId="0" applyFill="1" applyAlignment="1" applyProtection="1">
      <alignment horizontal="fill"/>
      <protection/>
    </xf>
    <xf numFmtId="0" fontId="0" fillId="0" borderId="33" xfId="0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0" fontId="0" fillId="0" borderId="66" xfId="0" applyBorder="1" applyAlignment="1" applyProtection="1">
      <alignment horizontal="fill"/>
      <protection/>
    </xf>
    <xf numFmtId="0" fontId="0" fillId="0" borderId="67" xfId="0" applyBorder="1" applyAlignment="1" applyProtection="1">
      <alignment horizontal="fill"/>
      <protection/>
    </xf>
    <xf numFmtId="0" fontId="0" fillId="0" borderId="68" xfId="0" applyBorder="1" applyAlignment="1" applyProtection="1">
      <alignment horizontal="fill"/>
      <protection/>
    </xf>
    <xf numFmtId="0" fontId="0" fillId="0" borderId="69" xfId="0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185" fontId="15" fillId="0" borderId="0" xfId="0" applyNumberFormat="1" applyFont="1" applyFill="1" applyAlignment="1" applyProtection="1">
      <alignment/>
      <protection/>
    </xf>
    <xf numFmtId="1" fontId="10" fillId="37" borderId="0" xfId="0" applyNumberFormat="1" applyFont="1" applyFill="1" applyAlignment="1" applyProtection="1">
      <alignment/>
      <protection/>
    </xf>
    <xf numFmtId="1" fontId="2" fillId="44" borderId="0" xfId="0" applyNumberFormat="1" applyFont="1" applyFill="1" applyAlignment="1" applyProtection="1">
      <alignment/>
      <protection locked="0"/>
    </xf>
    <xf numFmtId="0" fontId="2" fillId="44" borderId="0" xfId="0" applyFont="1" applyFill="1" applyAlignment="1" applyProtection="1">
      <alignment/>
      <protection locked="0"/>
    </xf>
    <xf numFmtId="185" fontId="2" fillId="38" borderId="0" xfId="0" applyNumberFormat="1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 horizontal="right"/>
      <protection locked="0"/>
    </xf>
    <xf numFmtId="175" fontId="2" fillId="39" borderId="0" xfId="0" applyNumberFormat="1" applyFont="1" applyFill="1" applyAlignment="1" applyProtection="1">
      <alignment/>
      <protection locked="0"/>
    </xf>
    <xf numFmtId="189" fontId="2" fillId="44" borderId="0" xfId="0" applyNumberFormat="1" applyFont="1" applyFill="1" applyAlignment="1" applyProtection="1">
      <alignment/>
      <protection locked="0"/>
    </xf>
    <xf numFmtId="172" fontId="2" fillId="44" borderId="0" xfId="0" applyNumberFormat="1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9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IV176"/>
  <sheetViews>
    <sheetView showGridLines="0" tabSelected="1" zoomScale="75" zoomScaleNormal="75" zoomScalePageLayoutView="0" workbookViewId="0" topLeftCell="A1">
      <selection activeCell="E38" sqref="E38"/>
    </sheetView>
  </sheetViews>
  <sheetFormatPr defaultColWidth="9.6640625" defaultRowHeight="15.75"/>
  <cols>
    <col min="1" max="1" width="23.6640625" style="0" customWidth="1"/>
    <col min="2" max="2" width="10.6640625" style="0" customWidth="1"/>
    <col min="3" max="3" width="8.77734375" style="0" customWidth="1"/>
    <col min="4" max="4" width="11.6640625" style="0" customWidth="1"/>
    <col min="5" max="5" width="10.6640625" style="0" customWidth="1"/>
    <col min="6" max="6" width="10.3359375" style="0" customWidth="1"/>
    <col min="7" max="7" width="11.99609375" style="0" customWidth="1"/>
    <col min="8" max="8" width="10.5546875" style="0" customWidth="1"/>
    <col min="9" max="9" width="10.21484375" style="0" customWidth="1"/>
    <col min="10" max="10" width="9.6640625" style="0" customWidth="1"/>
    <col min="11" max="11" width="14.6640625" style="0" customWidth="1"/>
    <col min="12" max="12" width="28.6640625" style="0" customWidth="1"/>
    <col min="13" max="13" width="20.6640625" style="0" customWidth="1"/>
    <col min="14" max="14" width="19.6640625" style="0" customWidth="1"/>
    <col min="15" max="16" width="9.6640625" style="0" customWidth="1"/>
    <col min="17" max="17" width="12.6640625" style="0" customWidth="1"/>
    <col min="18" max="18" width="11.6640625" style="0" customWidth="1"/>
  </cols>
  <sheetData>
    <row r="1" spans="1:256" ht="17.25">
      <c r="A1" s="55" t="s">
        <v>247</v>
      </c>
      <c r="B1" s="18"/>
      <c r="C1" s="18"/>
      <c r="D1" s="18"/>
      <c r="E1" s="2"/>
      <c r="F1" s="18"/>
      <c r="G1" s="18"/>
      <c r="H1" s="2"/>
      <c r="I1" s="3"/>
      <c r="J1" s="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2"/>
      <c r="B2" s="18"/>
      <c r="C2" s="18"/>
      <c r="D2" s="18"/>
      <c r="E2" s="2" t="s">
        <v>434</v>
      </c>
      <c r="F2" s="18"/>
      <c r="G2" s="18"/>
      <c r="H2" s="2"/>
      <c r="I2" s="3"/>
      <c r="J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" t="s">
        <v>1</v>
      </c>
      <c r="B3" s="18"/>
      <c r="C3" s="18"/>
      <c r="D3" s="18"/>
      <c r="E3" s="2" t="s">
        <v>11</v>
      </c>
      <c r="F3" s="18"/>
      <c r="G3" s="18"/>
      <c r="H3" s="2"/>
      <c r="I3" s="3"/>
      <c r="J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>
      <c r="A4" s="2" t="s">
        <v>3</v>
      </c>
      <c r="B4" s="18"/>
      <c r="C4" s="18"/>
      <c r="D4" s="18"/>
      <c r="E4" s="2" t="s">
        <v>10</v>
      </c>
      <c r="F4" s="18"/>
      <c r="G4" s="18"/>
      <c r="H4" s="2"/>
      <c r="I4" s="3"/>
      <c r="J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">
      <c r="A5" s="2" t="s">
        <v>5</v>
      </c>
      <c r="B5" s="18"/>
      <c r="C5" s="18"/>
      <c r="D5" s="18"/>
      <c r="E5" s="2"/>
      <c r="F5" s="18"/>
      <c r="G5" s="18"/>
      <c r="H5" s="2"/>
      <c r="I5" s="3"/>
      <c r="J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>
      <c r="A6" s="2" t="s">
        <v>6</v>
      </c>
      <c r="B6" s="18"/>
      <c r="C6" s="18"/>
      <c r="D6" s="18"/>
      <c r="E6" s="2" t="s">
        <v>248</v>
      </c>
      <c r="F6" s="2"/>
      <c r="G6" s="2"/>
      <c r="H6" s="2"/>
      <c r="I6" s="2"/>
      <c r="J6" s="2"/>
      <c r="K6" s="2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2" t="s">
        <v>7</v>
      </c>
      <c r="B7" s="18"/>
      <c r="C7" s="18"/>
      <c r="D7" s="18"/>
      <c r="E7" s="2" t="s">
        <v>0</v>
      </c>
      <c r="F7" s="2"/>
      <c r="G7" s="2"/>
      <c r="H7" s="2"/>
      <c r="I7" s="2"/>
      <c r="J7" s="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>
      <c r="A8" s="2" t="s">
        <v>8</v>
      </c>
      <c r="B8" s="18"/>
      <c r="C8" s="18"/>
      <c r="D8" s="18"/>
      <c r="E8" s="2" t="s">
        <v>2</v>
      </c>
      <c r="F8" s="2"/>
      <c r="G8" s="2"/>
      <c r="H8" s="2"/>
      <c r="I8" s="2"/>
      <c r="J8" s="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2" t="s">
        <v>9</v>
      </c>
      <c r="B9" s="18"/>
      <c r="C9" s="18"/>
      <c r="D9" s="18"/>
      <c r="E9" s="2" t="s">
        <v>4</v>
      </c>
      <c r="F9" s="18"/>
      <c r="G9" s="18"/>
      <c r="H9" s="2"/>
      <c r="I9" s="3"/>
      <c r="J9" s="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2"/>
      <c r="B10" s="18"/>
      <c r="C10" s="18"/>
      <c r="D10" s="18"/>
      <c r="E10" s="262" t="s">
        <v>351</v>
      </c>
      <c r="F10" s="203"/>
      <c r="G10" s="203"/>
      <c r="H10" s="36"/>
      <c r="I10" s="37"/>
      <c r="J10" s="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">
      <c r="A11" s="296" t="s">
        <v>499</v>
      </c>
      <c r="B11" s="18"/>
      <c r="C11" s="18"/>
      <c r="D11" s="18"/>
      <c r="E11" s="263" t="s">
        <v>435</v>
      </c>
      <c r="F11" s="204"/>
      <c r="G11" s="204"/>
      <c r="H11" s="38"/>
      <c r="I11" s="39"/>
      <c r="J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">
      <c r="A12" s="2"/>
      <c r="B12" s="18"/>
      <c r="C12" s="18"/>
      <c r="D12" s="18"/>
      <c r="E12" s="286"/>
      <c r="F12" s="287"/>
      <c r="G12" s="287"/>
      <c r="H12" s="177"/>
      <c r="I12" s="89"/>
      <c r="J12" s="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 thickBot="1">
      <c r="A13" s="69" t="s">
        <v>273</v>
      </c>
      <c r="B13" s="205"/>
      <c r="C13" s="70" t="s">
        <v>256</v>
      </c>
      <c r="D13" s="71" t="s">
        <v>274</v>
      </c>
      <c r="E13" s="71"/>
      <c r="F13" s="66" t="s">
        <v>12</v>
      </c>
      <c r="G13" s="67" t="s">
        <v>249</v>
      </c>
      <c r="H13" s="68" t="s">
        <v>275</v>
      </c>
      <c r="I13" s="68"/>
      <c r="J13" s="2"/>
      <c r="K13" s="3"/>
      <c r="M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206" t="s">
        <v>352</v>
      </c>
      <c r="B14" s="72">
        <v>400</v>
      </c>
      <c r="C14" s="2"/>
      <c r="D14" s="9" t="s">
        <v>280</v>
      </c>
      <c r="E14" s="25"/>
      <c r="F14" s="8"/>
      <c r="G14" s="9" t="s">
        <v>14</v>
      </c>
      <c r="H14" s="2"/>
      <c r="I14" s="2"/>
      <c r="J14" s="2"/>
      <c r="K14" s="3"/>
      <c r="M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207" t="s">
        <v>353</v>
      </c>
      <c r="B15" s="73">
        <v>85</v>
      </c>
      <c r="C15" s="9" t="s">
        <v>75</v>
      </c>
      <c r="D15" s="9" t="s">
        <v>16</v>
      </c>
      <c r="E15" s="9" t="s">
        <v>14</v>
      </c>
      <c r="F15" s="8"/>
      <c r="G15" s="9" t="s">
        <v>17</v>
      </c>
      <c r="H15" s="2"/>
      <c r="I15" s="10" t="s">
        <v>251</v>
      </c>
      <c r="J15" s="2"/>
      <c r="K15" s="3"/>
      <c r="M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 thickBot="1">
      <c r="A16" s="135" t="s">
        <v>384</v>
      </c>
      <c r="B16" s="217">
        <v>360</v>
      </c>
      <c r="C16" s="9" t="s">
        <v>15</v>
      </c>
      <c r="D16" s="9" t="s">
        <v>19</v>
      </c>
      <c r="E16" s="9" t="s">
        <v>20</v>
      </c>
      <c r="F16" s="9" t="s">
        <v>21</v>
      </c>
      <c r="G16" s="9" t="s">
        <v>22</v>
      </c>
      <c r="H16" s="54" t="s">
        <v>18</v>
      </c>
      <c r="I16" s="10" t="s">
        <v>23</v>
      </c>
      <c r="J16" s="2"/>
      <c r="K16" s="4"/>
      <c r="M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7.25">
      <c r="A17" s="55"/>
      <c r="B17" s="9" t="s">
        <v>24</v>
      </c>
      <c r="C17" s="9" t="s">
        <v>25</v>
      </c>
      <c r="D17" s="9" t="s">
        <v>26</v>
      </c>
      <c r="E17" s="9" t="s">
        <v>27</v>
      </c>
      <c r="F17" s="9" t="s">
        <v>25</v>
      </c>
      <c r="G17" s="9" t="s">
        <v>28</v>
      </c>
      <c r="H17" s="54" t="s">
        <v>250</v>
      </c>
      <c r="I17" s="10" t="s">
        <v>29</v>
      </c>
      <c r="J17" s="2"/>
      <c r="K17" s="4"/>
      <c r="M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8" thickBot="1">
      <c r="A18" s="55" t="s">
        <v>276</v>
      </c>
      <c r="B18" s="9" t="s">
        <v>167</v>
      </c>
      <c r="C18" s="9" t="s">
        <v>167</v>
      </c>
      <c r="D18" s="9" t="s">
        <v>167</v>
      </c>
      <c r="E18" s="9" t="s">
        <v>30</v>
      </c>
      <c r="F18" s="9" t="s">
        <v>167</v>
      </c>
      <c r="G18" s="9" t="s">
        <v>30</v>
      </c>
      <c r="H18" s="54" t="s">
        <v>281</v>
      </c>
      <c r="I18" s="10" t="s">
        <v>31</v>
      </c>
      <c r="J18" s="2"/>
      <c r="K18" s="4"/>
      <c r="M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33" t="s">
        <v>260</v>
      </c>
      <c r="B19" s="74">
        <v>0</v>
      </c>
      <c r="C19" s="74">
        <v>0</v>
      </c>
      <c r="D19" s="74">
        <v>0</v>
      </c>
      <c r="E19" s="75">
        <v>0</v>
      </c>
      <c r="F19" s="57">
        <f>C30*(D30/100)</f>
        <v>0</v>
      </c>
      <c r="G19" s="58">
        <f aca="true" t="shared" si="0" ref="G19:G26">G66</f>
        <v>6</v>
      </c>
      <c r="H19" s="57">
        <f aca="true" t="shared" si="1" ref="H19:H26">B19+C19+D19*(E19/100)+F19</f>
        <v>0</v>
      </c>
      <c r="I19" s="59">
        <f>H19/B14</f>
        <v>0</v>
      </c>
      <c r="J19" s="2"/>
      <c r="K19" s="4"/>
      <c r="M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34" t="s">
        <v>261</v>
      </c>
      <c r="B20" s="76">
        <v>0</v>
      </c>
      <c r="C20" s="76">
        <v>0</v>
      </c>
      <c r="D20" s="76">
        <v>0</v>
      </c>
      <c r="E20" s="77">
        <v>0</v>
      </c>
      <c r="F20" s="60">
        <f>C30*(D30/100)</f>
        <v>0</v>
      </c>
      <c r="G20" s="61">
        <f t="shared" si="0"/>
        <v>13</v>
      </c>
      <c r="H20" s="60">
        <f t="shared" si="1"/>
        <v>0</v>
      </c>
      <c r="I20" s="62">
        <f>H20/B14</f>
        <v>0</v>
      </c>
      <c r="J20" s="2"/>
      <c r="K20" s="4"/>
      <c r="M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">
      <c r="A21" s="34" t="s">
        <v>262</v>
      </c>
      <c r="B21" s="76">
        <v>0</v>
      </c>
      <c r="C21" s="76">
        <v>0</v>
      </c>
      <c r="D21" s="76">
        <v>0</v>
      </c>
      <c r="E21" s="77">
        <v>0</v>
      </c>
      <c r="F21" s="60">
        <f>C30*(D30/100)</f>
        <v>0</v>
      </c>
      <c r="G21" s="61">
        <f t="shared" si="0"/>
        <v>13</v>
      </c>
      <c r="H21" s="60">
        <f t="shared" si="1"/>
        <v>0</v>
      </c>
      <c r="I21" s="62">
        <f>H21/B14</f>
        <v>0</v>
      </c>
      <c r="J21" s="2"/>
      <c r="K21" s="4"/>
      <c r="M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">
      <c r="A22" s="34" t="s">
        <v>263</v>
      </c>
      <c r="B22" s="208">
        <f>Help!E195</f>
        <v>48379.4</v>
      </c>
      <c r="C22" s="60">
        <f>C33*(D33/100)</f>
        <v>0</v>
      </c>
      <c r="D22" s="76">
        <v>0</v>
      </c>
      <c r="E22" s="77">
        <v>0</v>
      </c>
      <c r="F22" s="60">
        <f>C32*(D32/100)</f>
        <v>0</v>
      </c>
      <c r="G22" s="61">
        <f t="shared" si="0"/>
        <v>16</v>
      </c>
      <c r="H22" s="60">
        <f t="shared" si="1"/>
        <v>48379.4</v>
      </c>
      <c r="I22" s="62">
        <f>H22/B14</f>
        <v>120.94850000000001</v>
      </c>
      <c r="J22" s="2"/>
      <c r="K22" s="4"/>
      <c r="M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">
      <c r="A23" s="34" t="s">
        <v>264</v>
      </c>
      <c r="B23" s="60">
        <f>Help!E35</f>
        <v>10065</v>
      </c>
      <c r="C23" s="60">
        <f>C33*(D33/100)</f>
        <v>0</v>
      </c>
      <c r="D23" s="76">
        <v>0</v>
      </c>
      <c r="E23" s="77">
        <v>0</v>
      </c>
      <c r="F23" s="60">
        <f>C32*(D32/100)</f>
        <v>0</v>
      </c>
      <c r="G23" s="61">
        <f t="shared" si="0"/>
        <v>17.5</v>
      </c>
      <c r="H23" s="60">
        <f t="shared" si="1"/>
        <v>10065</v>
      </c>
      <c r="I23" s="62">
        <f>H23/B14</f>
        <v>25.1625</v>
      </c>
      <c r="J23" s="2"/>
      <c r="K23" s="4"/>
      <c r="M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1" ht="15">
      <c r="A24" s="34" t="s">
        <v>257</v>
      </c>
      <c r="B24" s="60">
        <f>Help!E140</f>
        <v>7392</v>
      </c>
      <c r="C24" s="60">
        <f>C33*(D33/100)</f>
        <v>0</v>
      </c>
      <c r="D24" s="76">
        <v>0</v>
      </c>
      <c r="E24" s="77">
        <v>0</v>
      </c>
      <c r="F24" s="60">
        <f>C31*(D31/100)</f>
        <v>0</v>
      </c>
      <c r="G24" s="61">
        <f t="shared" si="0"/>
        <v>11</v>
      </c>
      <c r="H24" s="60">
        <f t="shared" si="1"/>
        <v>7392</v>
      </c>
      <c r="I24" s="62">
        <f>H24/B14</f>
        <v>18.48</v>
      </c>
      <c r="J24" s="2"/>
      <c r="K24" s="3"/>
    </row>
    <row r="25" spans="1:11" ht="15">
      <c r="A25" s="34" t="s">
        <v>32</v>
      </c>
      <c r="B25" s="60">
        <f>Help!E94</f>
        <v>13200</v>
      </c>
      <c r="C25" s="60">
        <f>C35*(D35/100)</f>
        <v>0</v>
      </c>
      <c r="D25" s="76">
        <v>0</v>
      </c>
      <c r="E25" s="77">
        <v>0</v>
      </c>
      <c r="F25" s="60">
        <f>C34*(D34/100)</f>
        <v>0</v>
      </c>
      <c r="G25" s="61">
        <f t="shared" si="0"/>
        <v>14</v>
      </c>
      <c r="H25" s="60">
        <f t="shared" si="1"/>
        <v>13200</v>
      </c>
      <c r="I25" s="62">
        <f>H25/B14</f>
        <v>33</v>
      </c>
      <c r="J25" s="2"/>
      <c r="K25" s="3"/>
    </row>
    <row r="26" spans="1:11" ht="15.75" thickBot="1">
      <c r="A26" s="35" t="s">
        <v>265</v>
      </c>
      <c r="B26" s="63">
        <f>Help!E67</f>
        <v>40480</v>
      </c>
      <c r="C26" s="63">
        <f>C37*(D37/100)</f>
        <v>0</v>
      </c>
      <c r="D26" s="78">
        <v>0</v>
      </c>
      <c r="E26" s="79">
        <v>0</v>
      </c>
      <c r="F26" s="63">
        <f>C36*(D36/100)</f>
        <v>0</v>
      </c>
      <c r="G26" s="64">
        <f t="shared" si="0"/>
        <v>7</v>
      </c>
      <c r="H26" s="63">
        <f t="shared" si="1"/>
        <v>40480</v>
      </c>
      <c r="I26" s="65">
        <f>H26/B14</f>
        <v>101.2</v>
      </c>
      <c r="J26" s="2"/>
      <c r="K26" s="3"/>
    </row>
    <row r="27" spans="1:11" ht="15">
      <c r="A27" s="2"/>
      <c r="B27" s="2"/>
      <c r="C27" s="2"/>
      <c r="D27" s="9" t="s">
        <v>33</v>
      </c>
      <c r="E27" s="9" t="s">
        <v>34</v>
      </c>
      <c r="F27" s="2"/>
      <c r="G27" s="2"/>
      <c r="H27" s="2"/>
      <c r="I27" s="3"/>
      <c r="J27" s="2"/>
      <c r="K27" s="3"/>
    </row>
    <row r="28" spans="1:256" ht="15">
      <c r="A28" s="2"/>
      <c r="B28" s="17" t="s">
        <v>25</v>
      </c>
      <c r="C28" s="17" t="s">
        <v>25</v>
      </c>
      <c r="D28" s="9" t="s">
        <v>473</v>
      </c>
      <c r="E28" s="9" t="s">
        <v>35</v>
      </c>
      <c r="F28" s="2"/>
      <c r="G28" s="2"/>
      <c r="H28" s="2"/>
      <c r="I28" s="3"/>
      <c r="J28" s="18"/>
      <c r="K28" s="19"/>
      <c r="L28" s="18"/>
      <c r="M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8" thickBot="1">
      <c r="A29" s="55" t="s">
        <v>327</v>
      </c>
      <c r="B29" s="17" t="s">
        <v>36</v>
      </c>
      <c r="C29" s="17" t="s">
        <v>37</v>
      </c>
      <c r="D29" s="54" t="s">
        <v>458</v>
      </c>
      <c r="E29" s="209" t="s">
        <v>38</v>
      </c>
      <c r="F29" s="2"/>
      <c r="G29" s="2"/>
      <c r="H29" s="2"/>
      <c r="I29" s="3"/>
      <c r="J29" s="18"/>
      <c r="K29" s="19"/>
      <c r="L29" s="18"/>
      <c r="M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8" thickBot="1">
      <c r="A30" s="210" t="s">
        <v>39</v>
      </c>
      <c r="B30" s="83">
        <v>0</v>
      </c>
      <c r="C30" s="74">
        <v>0</v>
      </c>
      <c r="D30" s="259">
        <v>0</v>
      </c>
      <c r="E30" s="80">
        <v>0</v>
      </c>
      <c r="F30" s="55" t="s">
        <v>40</v>
      </c>
      <c r="G30" s="18"/>
      <c r="H30" s="19" t="s">
        <v>463</v>
      </c>
      <c r="I30" s="2"/>
      <c r="J30" s="215"/>
      <c r="K30" s="4"/>
      <c r="L30" s="18"/>
      <c r="M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">
      <c r="A31" s="207" t="s">
        <v>41</v>
      </c>
      <c r="B31" s="72">
        <v>0</v>
      </c>
      <c r="C31" s="76">
        <v>0</v>
      </c>
      <c r="D31" s="260">
        <v>0</v>
      </c>
      <c r="E31" s="81">
        <v>0</v>
      </c>
      <c r="F31" s="173"/>
      <c r="G31" s="175"/>
      <c r="H31" s="211" t="s">
        <v>42</v>
      </c>
      <c r="I31" s="212">
        <f>Help!E135</f>
        <v>7</v>
      </c>
      <c r="J31" s="18"/>
      <c r="K31" s="19"/>
      <c r="L31" s="18"/>
      <c r="M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207" t="s">
        <v>43</v>
      </c>
      <c r="B32" s="72">
        <v>0</v>
      </c>
      <c r="C32" s="76">
        <v>0</v>
      </c>
      <c r="D32" s="260">
        <v>0</v>
      </c>
      <c r="E32" s="81">
        <v>0</v>
      </c>
      <c r="F32" s="180"/>
      <c r="G32" s="2"/>
      <c r="H32" s="213" t="s">
        <v>259</v>
      </c>
      <c r="I32" s="214">
        <f>Help!E120</f>
        <v>0</v>
      </c>
      <c r="J32" s="2"/>
      <c r="K32" s="3"/>
      <c r="M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207" t="s">
        <v>44</v>
      </c>
      <c r="B33" s="72">
        <v>0</v>
      </c>
      <c r="C33" s="76">
        <v>0</v>
      </c>
      <c r="D33" s="260">
        <v>0</v>
      </c>
      <c r="E33" s="81">
        <v>0</v>
      </c>
      <c r="F33" s="48"/>
      <c r="G33" s="2"/>
      <c r="H33" s="213" t="s">
        <v>443</v>
      </c>
      <c r="I33" s="120">
        <f>Help!E141</f>
        <v>50</v>
      </c>
      <c r="J33" s="2"/>
      <c r="K33" s="3"/>
      <c r="M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">
      <c r="A34" s="207" t="s">
        <v>500</v>
      </c>
      <c r="B34" s="72">
        <v>0</v>
      </c>
      <c r="C34" s="76">
        <v>0</v>
      </c>
      <c r="D34" s="260">
        <v>0</v>
      </c>
      <c r="E34" s="81">
        <v>0</v>
      </c>
      <c r="F34" s="216"/>
      <c r="G34" s="2"/>
      <c r="H34" s="185" t="s">
        <v>444</v>
      </c>
      <c r="I34" s="121">
        <f>Help!E142</f>
        <v>60</v>
      </c>
      <c r="J34" s="2"/>
      <c r="K34" s="3"/>
      <c r="M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 thickBot="1">
      <c r="A35" s="207" t="s">
        <v>501</v>
      </c>
      <c r="B35" s="72">
        <v>0</v>
      </c>
      <c r="C35" s="76">
        <v>0</v>
      </c>
      <c r="D35" s="260">
        <v>0</v>
      </c>
      <c r="E35" s="81">
        <v>0</v>
      </c>
      <c r="F35" s="187"/>
      <c r="G35" s="189"/>
      <c r="H35" s="190" t="s">
        <v>445</v>
      </c>
      <c r="I35" s="122">
        <f>Help!E143</f>
        <v>52.674897119341566</v>
      </c>
      <c r="J35" s="2"/>
      <c r="K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">
      <c r="A36" s="207" t="s">
        <v>385</v>
      </c>
      <c r="B36" s="72">
        <v>0</v>
      </c>
      <c r="C36" s="76">
        <v>0</v>
      </c>
      <c r="D36" s="260">
        <v>0</v>
      </c>
      <c r="E36" s="81">
        <v>0</v>
      </c>
      <c r="F36" s="2"/>
      <c r="G36" s="2"/>
      <c r="H36" s="2"/>
      <c r="I36" s="3"/>
      <c r="K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 thickBot="1">
      <c r="A37" s="135" t="s">
        <v>386</v>
      </c>
      <c r="B37" s="84">
        <v>0</v>
      </c>
      <c r="C37" s="85">
        <v>0</v>
      </c>
      <c r="D37" s="261">
        <v>0</v>
      </c>
      <c r="E37" s="82">
        <v>0</v>
      </c>
      <c r="F37" s="2"/>
      <c r="G37" s="2"/>
      <c r="H37" s="2"/>
      <c r="I37" s="3"/>
      <c r="K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8" thickBot="1">
      <c r="A38" s="55" t="s">
        <v>45</v>
      </c>
      <c r="B38" s="19" t="s">
        <v>461</v>
      </c>
      <c r="C38" s="2"/>
      <c r="D38" s="2"/>
      <c r="E38" s="2"/>
      <c r="F38" s="266" t="s">
        <v>46</v>
      </c>
      <c r="G38" s="2"/>
      <c r="H38" s="19" t="s">
        <v>462</v>
      </c>
      <c r="I38" s="2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 thickBot="1">
      <c r="A39" s="173"/>
      <c r="B39" s="192" t="s">
        <v>47</v>
      </c>
      <c r="C39" s="193">
        <f>Help!E202</f>
        <v>186.56000000000003</v>
      </c>
      <c r="D39" s="194"/>
      <c r="E39" s="195"/>
      <c r="F39" s="173"/>
      <c r="G39" s="175"/>
      <c r="H39" s="192" t="s">
        <v>48</v>
      </c>
      <c r="I39" s="196">
        <f>Help!E36</f>
        <v>390.9667357104581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 thickBot="1">
      <c r="A40" s="180"/>
      <c r="B40" s="181" t="s">
        <v>336</v>
      </c>
      <c r="C40" s="197">
        <f>Help!E203</f>
        <v>13.333333333333334</v>
      </c>
      <c r="D40" s="198"/>
      <c r="E40" s="177"/>
      <c r="F40" s="180"/>
      <c r="G40" s="177"/>
      <c r="H40" s="181" t="s">
        <v>440</v>
      </c>
      <c r="I40" s="199">
        <f>Help!E37</f>
        <v>16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 thickBot="1">
      <c r="A41" s="180"/>
      <c r="B41" s="181" t="s">
        <v>337</v>
      </c>
      <c r="C41" s="197">
        <f>Help!E204</f>
        <v>18.656000000000002</v>
      </c>
      <c r="D41" s="198"/>
      <c r="E41" s="177"/>
      <c r="F41" s="180"/>
      <c r="G41" s="177"/>
      <c r="H41" s="181" t="s">
        <v>441</v>
      </c>
      <c r="I41" s="199">
        <f>Help!E38</f>
        <v>159.0966735710458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 thickBot="1">
      <c r="A42" s="187"/>
      <c r="B42" s="200" t="s">
        <v>446</v>
      </c>
      <c r="C42" s="197">
        <f>Help!E205</f>
        <v>172.5196408529742</v>
      </c>
      <c r="D42" s="194"/>
      <c r="E42" s="195"/>
      <c r="F42" s="187"/>
      <c r="G42" s="189"/>
      <c r="H42" s="200" t="s">
        <v>442</v>
      </c>
      <c r="I42" s="201">
        <f>Help!E39</f>
        <v>113.76730265619159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">
      <c r="A43" s="2"/>
      <c r="B43" s="9"/>
      <c r="C43" s="202"/>
      <c r="D43" s="171"/>
      <c r="E43" s="2"/>
      <c r="F43" s="2"/>
      <c r="G43" s="2"/>
      <c r="H43" s="9"/>
      <c r="I43" s="202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8" thickBot="1">
      <c r="A44" s="56" t="s">
        <v>49</v>
      </c>
      <c r="B44" s="170" t="s">
        <v>460</v>
      </c>
      <c r="C44" s="19"/>
      <c r="D44" s="171"/>
      <c r="E44" s="2"/>
      <c r="F44" s="55" t="s">
        <v>50</v>
      </c>
      <c r="G44" s="2"/>
      <c r="H44" s="19" t="s">
        <v>459</v>
      </c>
      <c r="I44" s="172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173"/>
      <c r="B45" s="42" t="s">
        <v>269</v>
      </c>
      <c r="C45" s="174">
        <f>Help!E61</f>
        <v>626.8256327159572</v>
      </c>
      <c r="D45" s="171"/>
      <c r="E45" s="2"/>
      <c r="F45" s="173"/>
      <c r="G45" s="175"/>
      <c r="H45" s="47" t="s">
        <v>268</v>
      </c>
      <c r="I45" s="176">
        <f>Help!E90</f>
        <v>2560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">
      <c r="A46" s="180"/>
      <c r="B46" s="93" t="s">
        <v>266</v>
      </c>
      <c r="C46" s="178">
        <f>Help!E60</f>
        <v>0</v>
      </c>
      <c r="D46" s="179"/>
      <c r="E46" s="2"/>
      <c r="F46" s="180"/>
      <c r="G46" s="89"/>
      <c r="H46" s="181" t="s">
        <v>267</v>
      </c>
      <c r="I46" s="182">
        <f>Help!E88</f>
        <v>3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>
      <c r="A47" s="180"/>
      <c r="B47" s="44" t="s">
        <v>355</v>
      </c>
      <c r="C47" s="183">
        <f>Help!E68</f>
        <v>31.341281635797863</v>
      </c>
      <c r="D47" s="184"/>
      <c r="E47" s="2"/>
      <c r="F47" s="180"/>
      <c r="G47" s="177"/>
      <c r="H47" s="185" t="s">
        <v>354</v>
      </c>
      <c r="I47" s="120">
        <f>Help!E95</f>
        <v>128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>
      <c r="A48" s="180"/>
      <c r="B48" s="44" t="s">
        <v>335</v>
      </c>
      <c r="C48" s="186">
        <f>Help!E70</f>
        <v>20.894187757198573</v>
      </c>
      <c r="D48" s="2"/>
      <c r="E48" s="2"/>
      <c r="F48" s="180"/>
      <c r="G48" s="177"/>
      <c r="H48" s="185" t="s">
        <v>332</v>
      </c>
      <c r="I48" s="120">
        <f>Help!E97</f>
        <v>85.33333333333333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 thickBot="1">
      <c r="A49" s="187"/>
      <c r="B49" s="45" t="s">
        <v>334</v>
      </c>
      <c r="C49" s="188">
        <f>Help!E69</f>
        <v>0</v>
      </c>
      <c r="D49" s="2"/>
      <c r="E49" s="2"/>
      <c r="F49" s="187"/>
      <c r="G49" s="189"/>
      <c r="H49" s="190" t="s">
        <v>333</v>
      </c>
      <c r="I49" s="123">
        <f>Help!E96</f>
        <v>213.33333333333334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">
      <c r="A50" s="2"/>
      <c r="B50" s="2"/>
      <c r="C50" s="2"/>
      <c r="D50" s="2"/>
      <c r="E50" s="2"/>
      <c r="F50" s="2"/>
      <c r="G50" s="2"/>
      <c r="H50" s="2"/>
      <c r="I50" s="2"/>
      <c r="K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8" thickBot="1">
      <c r="A51" s="56" t="s">
        <v>252</v>
      </c>
      <c r="B51" s="8"/>
      <c r="C51" s="12"/>
      <c r="D51" s="2"/>
      <c r="E51" s="2"/>
      <c r="F51" s="55" t="s">
        <v>254</v>
      </c>
      <c r="G51" s="2"/>
      <c r="H51" s="2"/>
      <c r="I51" s="2"/>
      <c r="K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">
      <c r="A52" s="173"/>
      <c r="B52" s="192" t="s">
        <v>437</v>
      </c>
      <c r="C52" s="118">
        <v>0</v>
      </c>
      <c r="D52" s="215" t="s">
        <v>52</v>
      </c>
      <c r="E52" s="173"/>
      <c r="F52" s="297" t="s">
        <v>16</v>
      </c>
      <c r="G52" s="298"/>
      <c r="H52" s="298"/>
      <c r="I52" s="299" t="s">
        <v>432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8" thickBot="1">
      <c r="A53" s="180"/>
      <c r="B53" s="181" t="s">
        <v>53</v>
      </c>
      <c r="C53" s="87">
        <v>2</v>
      </c>
      <c r="D53" s="2"/>
      <c r="E53" s="250"/>
      <c r="F53" s="251" t="s">
        <v>433</v>
      </c>
      <c r="G53" s="251" t="s">
        <v>25</v>
      </c>
      <c r="H53" s="251" t="s">
        <v>270</v>
      </c>
      <c r="I53" s="191" t="s">
        <v>15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">
      <c r="A54" s="180"/>
      <c r="B54" s="213" t="s">
        <v>55</v>
      </c>
      <c r="C54" s="87">
        <v>50</v>
      </c>
      <c r="D54" s="2"/>
      <c r="E54" s="218" t="s">
        <v>60</v>
      </c>
      <c r="F54" s="288">
        <v>0.08</v>
      </c>
      <c r="G54" s="288">
        <f>F54</f>
        <v>0.08</v>
      </c>
      <c r="H54" s="288">
        <f>G54</f>
        <v>0.08</v>
      </c>
      <c r="I54" s="288">
        <f>H54</f>
        <v>0.08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">
      <c r="A55" s="180"/>
      <c r="B55" s="181" t="s">
        <v>404</v>
      </c>
      <c r="C55" s="231">
        <v>0</v>
      </c>
      <c r="D55" s="2"/>
      <c r="E55" s="219" t="s">
        <v>271</v>
      </c>
      <c r="F55" s="289">
        <v>10</v>
      </c>
      <c r="G55" s="289">
        <v>10</v>
      </c>
      <c r="H55" s="289">
        <v>20</v>
      </c>
      <c r="I55" s="289">
        <v>7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.75" thickBot="1">
      <c r="A56" s="180"/>
      <c r="B56" s="181" t="s">
        <v>405</v>
      </c>
      <c r="C56" s="87">
        <v>0</v>
      </c>
      <c r="D56" s="2"/>
      <c r="E56" s="264" t="s">
        <v>62</v>
      </c>
      <c r="F56" s="290">
        <v>0.3</v>
      </c>
      <c r="G56" s="290">
        <v>0.3</v>
      </c>
      <c r="H56" s="290">
        <v>0</v>
      </c>
      <c r="I56" s="290"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.75" thickBot="1">
      <c r="A57" s="187"/>
      <c r="B57" s="190" t="s">
        <v>406</v>
      </c>
      <c r="C57" s="88">
        <v>0</v>
      </c>
      <c r="D57" s="2"/>
      <c r="E57" s="232" t="s">
        <v>51</v>
      </c>
      <c r="F57" s="233"/>
      <c r="G57" s="233"/>
      <c r="H57" s="233"/>
      <c r="I57" s="234"/>
      <c r="J57" s="1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">
      <c r="A58" s="2"/>
      <c r="B58" s="2"/>
      <c r="C58" s="2"/>
      <c r="D58" s="2"/>
      <c r="E58" s="284" t="s">
        <v>56</v>
      </c>
      <c r="F58" s="288">
        <v>0.04</v>
      </c>
      <c r="G58" s="288">
        <v>0.03</v>
      </c>
      <c r="H58" s="288">
        <v>0.01</v>
      </c>
      <c r="I58" s="291">
        <v>0.05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">
      <c r="A59" s="2"/>
      <c r="B59" s="2"/>
      <c r="C59" s="2"/>
      <c r="D59" s="2"/>
      <c r="E59" s="223" t="s">
        <v>57</v>
      </c>
      <c r="F59" s="292">
        <v>0</v>
      </c>
      <c r="G59" s="292">
        <v>0</v>
      </c>
      <c r="H59" s="292">
        <v>0.015</v>
      </c>
      <c r="I59" s="293"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8" thickBot="1">
      <c r="A60" s="56" t="s">
        <v>253</v>
      </c>
      <c r="B60" s="9"/>
      <c r="C60" s="220"/>
      <c r="D60" s="2"/>
      <c r="E60" s="223" t="s">
        <v>58</v>
      </c>
      <c r="F60" s="292">
        <v>0.005</v>
      </c>
      <c r="G60" s="292">
        <v>0.005</v>
      </c>
      <c r="H60" s="292">
        <v>0.005</v>
      </c>
      <c r="I60" s="293">
        <v>0.005</v>
      </c>
      <c r="J60" s="4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173"/>
      <c r="B61" s="206" t="s">
        <v>438</v>
      </c>
      <c r="C61" s="92">
        <v>10</v>
      </c>
      <c r="D61" s="2"/>
      <c r="E61" s="221" t="s">
        <v>439</v>
      </c>
      <c r="F61" s="224">
        <f>(1-F56)/F55</f>
        <v>0.06999999999999999</v>
      </c>
      <c r="G61" s="224">
        <f>(1-G56)/G55</f>
        <v>0.06999999999999999</v>
      </c>
      <c r="H61" s="224">
        <f>(1-H56)/H55</f>
        <v>0.05</v>
      </c>
      <c r="I61" s="225">
        <f>(1-I56)/I55</f>
        <v>0.14285714285714285</v>
      </c>
      <c r="J61" s="40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 thickBot="1">
      <c r="A62" s="180"/>
      <c r="B62" s="222" t="s">
        <v>258</v>
      </c>
      <c r="C62" s="90">
        <v>0.07</v>
      </c>
      <c r="D62" s="2"/>
      <c r="E62" s="226" t="s">
        <v>54</v>
      </c>
      <c r="F62" s="227">
        <f>((1+F56)/2)*F54</f>
        <v>0.052000000000000005</v>
      </c>
      <c r="G62" s="227">
        <f>((1+G56)/2)*G54</f>
        <v>0.052000000000000005</v>
      </c>
      <c r="H62" s="227">
        <f>((1+H56)/2)*H54</f>
        <v>0.04</v>
      </c>
      <c r="I62" s="228">
        <f>((1+I56)/2)*I54</f>
        <v>0.04</v>
      </c>
      <c r="J62" s="40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 thickBot="1">
      <c r="A63" s="187"/>
      <c r="B63" s="49" t="s">
        <v>447</v>
      </c>
      <c r="C63" s="91">
        <v>1</v>
      </c>
      <c r="D63" s="2"/>
      <c r="E63" s="283" t="s">
        <v>59</v>
      </c>
      <c r="F63" s="285">
        <f>SUM(F58:F62)</f>
        <v>0.16699999999999998</v>
      </c>
      <c r="G63" s="94">
        <f>SUM(G58:G62)</f>
        <v>0.15699999999999997</v>
      </c>
      <c r="H63" s="94">
        <f>SUM(H58:H62)</f>
        <v>0.12</v>
      </c>
      <c r="I63" s="229">
        <f>SUM(I58:I62)</f>
        <v>0.23785714285714285</v>
      </c>
      <c r="J63" s="40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">
      <c r="A64" s="2" t="s">
        <v>61</v>
      </c>
      <c r="B64" s="9"/>
      <c r="C64" s="9"/>
      <c r="D64" s="9"/>
      <c r="E64" s="192" t="s">
        <v>466</v>
      </c>
      <c r="F64" s="2"/>
      <c r="G64" s="2"/>
      <c r="H64" s="2"/>
      <c r="I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8" thickBot="1">
      <c r="A65" s="55" t="s">
        <v>272</v>
      </c>
      <c r="B65" s="9" t="s">
        <v>255</v>
      </c>
      <c r="C65" s="9" t="s">
        <v>63</v>
      </c>
      <c r="D65" s="9" t="s">
        <v>64</v>
      </c>
      <c r="E65" s="9" t="s">
        <v>65</v>
      </c>
      <c r="F65" s="9" t="s">
        <v>66</v>
      </c>
      <c r="G65" s="9" t="s">
        <v>67</v>
      </c>
      <c r="H65" s="2"/>
      <c r="I65" s="2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">
      <c r="A66" s="9" t="str">
        <f aca="true" t="shared" si="2" ref="A66:A73">A19</f>
        <v>Steel/Glass Tower </v>
      </c>
      <c r="B66" s="95">
        <v>1</v>
      </c>
      <c r="C66" s="83">
        <v>0</v>
      </c>
      <c r="D66" s="83">
        <v>4</v>
      </c>
      <c r="E66" s="83">
        <v>0</v>
      </c>
      <c r="F66" s="96">
        <v>1</v>
      </c>
      <c r="G66" s="300">
        <f aca="true" t="shared" si="3" ref="G66:G73">SUM(B66:F66)</f>
        <v>6</v>
      </c>
      <c r="H66" s="2"/>
      <c r="I66" s="2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 thickBot="1">
      <c r="A67" s="9" t="str">
        <f t="shared" si="2"/>
        <v>Cast in Place Tower </v>
      </c>
      <c r="B67" s="97">
        <v>1</v>
      </c>
      <c r="C67" s="72">
        <v>0</v>
      </c>
      <c r="D67" s="72">
        <v>8</v>
      </c>
      <c r="E67" s="72">
        <v>3</v>
      </c>
      <c r="F67" s="86">
        <v>1</v>
      </c>
      <c r="G67" s="301">
        <f t="shared" si="3"/>
        <v>13</v>
      </c>
      <c r="H67" s="302" t="s">
        <v>68</v>
      </c>
      <c r="I67" s="177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">
      <c r="A68" s="9" t="str">
        <f t="shared" si="2"/>
        <v>Stave Tower </v>
      </c>
      <c r="B68" s="97">
        <v>1</v>
      </c>
      <c r="C68" s="72">
        <v>0</v>
      </c>
      <c r="D68" s="72">
        <v>8</v>
      </c>
      <c r="E68" s="72">
        <v>3</v>
      </c>
      <c r="F68" s="86">
        <v>1</v>
      </c>
      <c r="G68" s="301">
        <f t="shared" si="3"/>
        <v>13</v>
      </c>
      <c r="H68" s="303" t="s">
        <v>277</v>
      </c>
      <c r="I68" s="304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">
      <c r="A69" s="9" t="str">
        <f t="shared" si="2"/>
        <v>Above Ground Bunker </v>
      </c>
      <c r="B69" s="97">
        <v>2</v>
      </c>
      <c r="C69" s="72">
        <v>0</v>
      </c>
      <c r="D69" s="72">
        <v>8</v>
      </c>
      <c r="E69" s="72">
        <v>3</v>
      </c>
      <c r="F69" s="86">
        <v>3</v>
      </c>
      <c r="G69" s="301">
        <f t="shared" si="3"/>
        <v>16</v>
      </c>
      <c r="H69" s="305" t="s">
        <v>69</v>
      </c>
      <c r="I69" s="195"/>
      <c r="J69" s="50"/>
      <c r="M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">
      <c r="A70" s="9" t="str">
        <f t="shared" si="2"/>
        <v>Packed Pile </v>
      </c>
      <c r="B70" s="97">
        <v>2.5</v>
      </c>
      <c r="C70" s="72">
        <v>0</v>
      </c>
      <c r="D70" s="72">
        <v>8</v>
      </c>
      <c r="E70" s="72">
        <v>4</v>
      </c>
      <c r="F70" s="86">
        <v>3</v>
      </c>
      <c r="G70" s="301">
        <f t="shared" si="3"/>
        <v>17.5</v>
      </c>
      <c r="H70" s="305" t="s">
        <v>467</v>
      </c>
      <c r="I70" s="195"/>
      <c r="K70" s="3"/>
      <c r="M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9" t="str">
        <f t="shared" si="2"/>
        <v>Bagger </v>
      </c>
      <c r="B71" s="97">
        <v>1</v>
      </c>
      <c r="C71" s="72">
        <v>0</v>
      </c>
      <c r="D71" s="72">
        <v>5</v>
      </c>
      <c r="E71" s="72">
        <v>2</v>
      </c>
      <c r="F71" s="86">
        <v>3</v>
      </c>
      <c r="G71" s="301">
        <f t="shared" si="3"/>
        <v>11</v>
      </c>
      <c r="H71" s="305" t="s">
        <v>278</v>
      </c>
      <c r="I71" s="195"/>
      <c r="K71" s="3"/>
      <c r="M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">
      <c r="A72" s="9" t="str">
        <f t="shared" si="2"/>
        <v>Silage Bale Wrap</v>
      </c>
      <c r="B72" s="97">
        <v>1</v>
      </c>
      <c r="C72" s="72">
        <v>0</v>
      </c>
      <c r="D72" s="72">
        <v>7</v>
      </c>
      <c r="E72" s="72">
        <v>5</v>
      </c>
      <c r="F72" s="86">
        <v>1</v>
      </c>
      <c r="G72" s="301">
        <f t="shared" si="3"/>
        <v>14</v>
      </c>
      <c r="H72" s="305" t="s">
        <v>70</v>
      </c>
      <c r="I72" s="195"/>
      <c r="K72" s="4"/>
      <c r="M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.75" thickBot="1">
      <c r="A73" s="9" t="str">
        <f t="shared" si="2"/>
        <v>Dry Baled Hay </v>
      </c>
      <c r="B73" s="98">
        <v>1</v>
      </c>
      <c r="C73" s="84">
        <v>0</v>
      </c>
      <c r="D73" s="84">
        <v>5</v>
      </c>
      <c r="E73" s="84">
        <v>0</v>
      </c>
      <c r="F73" s="99">
        <v>1</v>
      </c>
      <c r="G73" s="306">
        <f t="shared" si="3"/>
        <v>7</v>
      </c>
      <c r="H73" s="307" t="s">
        <v>71</v>
      </c>
      <c r="I73" s="308"/>
      <c r="K73" s="4"/>
      <c r="M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171" t="s">
        <v>436</v>
      </c>
      <c r="B74" s="309"/>
      <c r="C74" s="309"/>
      <c r="D74" s="309"/>
      <c r="E74" s="309"/>
      <c r="F74" s="309"/>
      <c r="G74" s="177"/>
      <c r="H74" s="2"/>
      <c r="I74" s="2"/>
      <c r="K74" s="4"/>
      <c r="M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">
      <c r="A75" s="2" t="s">
        <v>279</v>
      </c>
      <c r="B75" s="18"/>
      <c r="C75" s="18"/>
      <c r="D75" s="2"/>
      <c r="E75" s="2"/>
      <c r="F75" s="2"/>
      <c r="G75" s="2"/>
      <c r="H75" s="2"/>
      <c r="I75" s="2"/>
      <c r="K75" s="4"/>
      <c r="M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.75" thickBot="1">
      <c r="A76" s="2"/>
      <c r="B76" s="2"/>
      <c r="C76" s="2"/>
      <c r="D76" s="2"/>
      <c r="E76" s="2"/>
      <c r="F76" s="2"/>
      <c r="G76" s="2"/>
      <c r="H76" s="2"/>
      <c r="I76" s="2"/>
      <c r="K76" s="4"/>
      <c r="M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.75" thickBot="1">
      <c r="A77" s="275"/>
      <c r="B77" s="253" t="s">
        <v>426</v>
      </c>
      <c r="C77" s="254"/>
      <c r="D77" s="254"/>
      <c r="E77" s="273">
        <f>Inputs!B14</f>
        <v>400</v>
      </c>
      <c r="F77" s="274" t="s">
        <v>115</v>
      </c>
      <c r="G77" s="255"/>
      <c r="H77" s="2"/>
      <c r="I77" s="2"/>
      <c r="K77" s="4"/>
      <c r="M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">
      <c r="A78" s="235" t="s">
        <v>427</v>
      </c>
      <c r="B78" s="236">
        <f>C57</f>
        <v>0</v>
      </c>
      <c r="C78" s="18"/>
      <c r="D78" s="2"/>
      <c r="E78" s="18"/>
      <c r="F78" s="248" t="s">
        <v>468</v>
      </c>
      <c r="G78" s="294">
        <f>I31</f>
        <v>7</v>
      </c>
      <c r="H78" s="2"/>
      <c r="I78" s="2"/>
      <c r="K78" s="4"/>
      <c r="M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">
      <c r="A79" s="235" t="s">
        <v>408</v>
      </c>
      <c r="B79" s="236">
        <f>C55</f>
        <v>0</v>
      </c>
      <c r="C79" s="18"/>
      <c r="D79" s="2"/>
      <c r="E79" s="18"/>
      <c r="F79" s="248" t="s">
        <v>419</v>
      </c>
      <c r="G79" s="237">
        <f>Help!E119</f>
        <v>9</v>
      </c>
      <c r="H79" s="2"/>
      <c r="I79" s="2"/>
      <c r="K79" s="4"/>
      <c r="M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">
      <c r="A80" s="235" t="s">
        <v>407</v>
      </c>
      <c r="B80" s="236">
        <f>C56</f>
        <v>0</v>
      </c>
      <c r="C80" s="18"/>
      <c r="D80" s="2"/>
      <c r="E80" s="18"/>
      <c r="F80" s="248" t="s">
        <v>418</v>
      </c>
      <c r="G80" s="237">
        <f>Help!E118</f>
        <v>134</v>
      </c>
      <c r="H80" s="2"/>
      <c r="I80" s="2"/>
      <c r="K80" s="4"/>
      <c r="M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">
      <c r="A81" s="235" t="s">
        <v>428</v>
      </c>
      <c r="B81" s="236">
        <f>Help!E160</f>
        <v>2</v>
      </c>
      <c r="C81" s="18"/>
      <c r="D81" s="2"/>
      <c r="E81" s="18"/>
      <c r="F81" s="220"/>
      <c r="G81" s="237"/>
      <c r="H81" s="2"/>
      <c r="I81" s="2"/>
      <c r="K81" s="4"/>
      <c r="M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">
      <c r="A82" s="235" t="s">
        <v>409</v>
      </c>
      <c r="B82" s="236">
        <f>Help!E161</f>
        <v>10</v>
      </c>
      <c r="C82" s="18"/>
      <c r="D82" s="2"/>
      <c r="E82" s="18"/>
      <c r="F82" s="248" t="s">
        <v>430</v>
      </c>
      <c r="G82" s="295">
        <f>Help!E90</f>
        <v>2560</v>
      </c>
      <c r="H82" s="2"/>
      <c r="I82" s="2"/>
      <c r="K82" s="4"/>
      <c r="M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">
      <c r="A83" s="235" t="s">
        <v>410</v>
      </c>
      <c r="B83" s="137">
        <f>Help!E165</f>
        <v>32</v>
      </c>
      <c r="C83" s="18"/>
      <c r="D83" s="2"/>
      <c r="E83" s="18"/>
      <c r="F83" s="248" t="s">
        <v>420</v>
      </c>
      <c r="G83" s="237">
        <f>Help!E80</f>
        <v>5</v>
      </c>
      <c r="H83" s="2"/>
      <c r="I83" s="2"/>
      <c r="K83" s="4"/>
      <c r="M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">
      <c r="A84" s="235" t="s">
        <v>412</v>
      </c>
      <c r="B84" s="236">
        <f>Help!E185</f>
        <v>106</v>
      </c>
      <c r="C84" s="18"/>
      <c r="D84" s="2"/>
      <c r="E84" s="18"/>
      <c r="F84" s="248" t="s">
        <v>421</v>
      </c>
      <c r="G84" s="237">
        <f>Help!E81</f>
        <v>0</v>
      </c>
      <c r="H84" s="18"/>
      <c r="I84" s="19"/>
      <c r="K84" s="4"/>
      <c r="M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">
      <c r="A85" s="235" t="s">
        <v>411</v>
      </c>
      <c r="B85" s="236">
        <f>Help!E9</f>
        <v>2</v>
      </c>
      <c r="C85" s="18"/>
      <c r="D85" s="2"/>
      <c r="E85" s="18"/>
      <c r="F85" s="248" t="s">
        <v>422</v>
      </c>
      <c r="G85" s="237">
        <f>Help!E82</f>
        <v>2.5</v>
      </c>
      <c r="H85" s="18"/>
      <c r="I85" s="19"/>
      <c r="K85" s="4"/>
      <c r="M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">
      <c r="A86" s="235" t="s">
        <v>414</v>
      </c>
      <c r="B86" s="236">
        <f>Help!E5</f>
        <v>9</v>
      </c>
      <c r="C86" s="18"/>
      <c r="D86" s="2"/>
      <c r="E86" s="18"/>
      <c r="F86" s="248" t="s">
        <v>429</v>
      </c>
      <c r="G86" s="238">
        <f>Help!E61</f>
        <v>626.8256327159572</v>
      </c>
      <c r="H86" s="18"/>
      <c r="I86" s="19"/>
      <c r="K86" s="4"/>
      <c r="M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">
      <c r="A87" s="235" t="s">
        <v>415</v>
      </c>
      <c r="B87" s="236">
        <f>Help!E6</f>
        <v>1</v>
      </c>
      <c r="C87" s="18"/>
      <c r="D87" s="2"/>
      <c r="E87" s="18"/>
      <c r="F87" s="248" t="s">
        <v>423</v>
      </c>
      <c r="G87" s="237">
        <f>Help!E47</f>
        <v>5</v>
      </c>
      <c r="H87" s="18"/>
      <c r="I87" s="19"/>
      <c r="K87" s="4"/>
      <c r="M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">
      <c r="A88" s="235" t="s">
        <v>416</v>
      </c>
      <c r="B88" s="236">
        <f>Help!E27</f>
        <v>55</v>
      </c>
      <c r="C88" s="18"/>
      <c r="D88" s="2"/>
      <c r="E88" s="18"/>
      <c r="F88" s="248" t="s">
        <v>424</v>
      </c>
      <c r="G88" s="237">
        <f>Help!E48</f>
        <v>5</v>
      </c>
      <c r="H88" s="18"/>
      <c r="I88" s="19"/>
      <c r="K88" s="4"/>
      <c r="M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.75" thickBot="1">
      <c r="A89" s="239" t="s">
        <v>417</v>
      </c>
      <c r="B89" s="240">
        <f>Help!E4</f>
        <v>135</v>
      </c>
      <c r="C89" s="241"/>
      <c r="D89" s="189"/>
      <c r="E89" s="241"/>
      <c r="F89" s="249" t="s">
        <v>425</v>
      </c>
      <c r="G89" s="242">
        <f>Help!E49</f>
        <v>0</v>
      </c>
      <c r="H89" s="18"/>
      <c r="I89" s="19"/>
      <c r="K89" s="4"/>
      <c r="M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">
      <c r="A90" s="2"/>
      <c r="B90" s="18"/>
      <c r="C90" s="18"/>
      <c r="D90" s="18"/>
      <c r="E90" s="18"/>
      <c r="F90" s="18"/>
      <c r="G90" s="18"/>
      <c r="H90" s="18"/>
      <c r="I90" s="19"/>
      <c r="K90" s="4"/>
      <c r="M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">
      <c r="A91" s="2"/>
      <c r="B91" s="18"/>
      <c r="C91" s="18"/>
      <c r="D91" s="18"/>
      <c r="E91" s="18"/>
      <c r="F91" s="18"/>
      <c r="G91" s="18"/>
      <c r="H91" s="18"/>
      <c r="I91" s="19"/>
      <c r="K91" s="4"/>
      <c r="M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>
      <c r="A92" s="2"/>
      <c r="B92" s="18"/>
      <c r="C92" s="18"/>
      <c r="D92" s="18"/>
      <c r="E92" s="18"/>
      <c r="F92" s="18"/>
      <c r="G92" s="18"/>
      <c r="H92" s="18"/>
      <c r="I92" s="19"/>
      <c r="K92" s="4"/>
      <c r="M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">
      <c r="A93" s="2"/>
      <c r="B93" s="18"/>
      <c r="C93" s="18"/>
      <c r="D93" s="18"/>
      <c r="E93" s="18"/>
      <c r="F93" s="18"/>
      <c r="G93" s="18"/>
      <c r="H93" s="18"/>
      <c r="I93" s="19"/>
      <c r="K93" s="4"/>
      <c r="M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">
      <c r="A94" s="2"/>
      <c r="B94" s="18"/>
      <c r="C94" s="18"/>
      <c r="D94" s="18"/>
      <c r="E94" s="18"/>
      <c r="F94" s="18"/>
      <c r="G94" s="18"/>
      <c r="H94" s="18"/>
      <c r="I94" s="19"/>
      <c r="K94" s="4"/>
      <c r="M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">
      <c r="A95" s="2" t="s">
        <v>465</v>
      </c>
      <c r="B95" s="18"/>
      <c r="C95" s="18"/>
      <c r="D95" s="18"/>
      <c r="E95" s="18"/>
      <c r="F95" s="18"/>
      <c r="G95" s="18"/>
      <c r="H95" s="18"/>
      <c r="I95" s="19"/>
      <c r="K95" s="4"/>
      <c r="M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2:256" ht="15">
      <c r="B96" s="1"/>
      <c r="C96" s="1"/>
      <c r="D96" s="1"/>
      <c r="E96" s="1"/>
      <c r="F96" s="1"/>
      <c r="G96" s="1"/>
      <c r="H96" s="1"/>
      <c r="I96" s="4"/>
      <c r="K96" s="4"/>
      <c r="M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2:256" ht="15">
      <c r="B97" s="1"/>
      <c r="C97" s="1"/>
      <c r="D97" s="1"/>
      <c r="E97" s="1"/>
      <c r="F97" s="1"/>
      <c r="G97" s="1"/>
      <c r="H97" s="1"/>
      <c r="I97" s="4"/>
      <c r="K97" s="4"/>
      <c r="M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2:256" ht="15">
      <c r="B98" s="1"/>
      <c r="C98" s="1"/>
      <c r="D98" s="1"/>
      <c r="E98" s="1"/>
      <c r="F98" s="1"/>
      <c r="G98" s="1"/>
      <c r="H98" s="1"/>
      <c r="I98" s="4"/>
      <c r="K98" s="4"/>
      <c r="M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2:256" ht="15">
      <c r="B99" s="1"/>
      <c r="C99" s="1"/>
      <c r="D99" s="1"/>
      <c r="E99" s="1"/>
      <c r="F99" s="1"/>
      <c r="G99" s="1"/>
      <c r="H99" s="1"/>
      <c r="I99" s="4"/>
      <c r="K99" s="4"/>
      <c r="M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2:256" ht="15">
      <c r="B100" s="1"/>
      <c r="C100" s="1"/>
      <c r="D100" s="1"/>
      <c r="E100" s="1"/>
      <c r="F100" s="1"/>
      <c r="G100" s="1"/>
      <c r="H100" s="1"/>
      <c r="I100" s="4"/>
      <c r="K100" s="4"/>
      <c r="M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2:256" ht="15">
      <c r="B101" s="1"/>
      <c r="C101" s="1"/>
      <c r="D101" s="1"/>
      <c r="E101" s="1"/>
      <c r="F101" s="1"/>
      <c r="G101" s="1"/>
      <c r="H101" s="1"/>
      <c r="I101" s="4"/>
      <c r="K101" s="4"/>
      <c r="M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2:256" ht="15">
      <c r="B102" s="1"/>
      <c r="C102" s="1"/>
      <c r="D102" s="1"/>
      <c r="E102" s="1"/>
      <c r="F102" s="1"/>
      <c r="G102" s="1"/>
      <c r="H102" s="1"/>
      <c r="I102" s="4"/>
      <c r="K102" s="4"/>
      <c r="M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2:256" ht="15">
      <c r="B103" s="1"/>
      <c r="C103" s="1"/>
      <c r="D103" s="1"/>
      <c r="E103" s="1"/>
      <c r="F103" s="1"/>
      <c r="G103" s="1"/>
      <c r="H103" s="1"/>
      <c r="I103" s="4"/>
      <c r="K103" s="4"/>
      <c r="M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2:256" ht="15">
      <c r="B104" s="1"/>
      <c r="C104" s="1"/>
      <c r="D104" s="1"/>
      <c r="E104" s="1"/>
      <c r="F104" s="1"/>
      <c r="G104" s="1"/>
      <c r="H104" s="1"/>
      <c r="I104" s="4"/>
      <c r="K104" s="4"/>
      <c r="M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2:256" ht="15">
      <c r="B105" s="1"/>
      <c r="C105" s="1"/>
      <c r="D105" s="1"/>
      <c r="E105" s="1"/>
      <c r="F105" s="1"/>
      <c r="G105" s="1"/>
      <c r="H105" s="1"/>
      <c r="I105" s="4"/>
      <c r="K105" s="4"/>
      <c r="M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2:256" ht="15">
      <c r="B106" s="1"/>
      <c r="C106" s="1"/>
      <c r="D106" s="1"/>
      <c r="E106" s="1"/>
      <c r="F106" s="1"/>
      <c r="G106" s="1"/>
      <c r="H106" s="1"/>
      <c r="I106" s="4"/>
      <c r="K106" s="4"/>
      <c r="M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2:256" ht="15">
      <c r="B107" s="1"/>
      <c r="C107" s="1"/>
      <c r="D107" s="1"/>
      <c r="E107" s="1"/>
      <c r="F107" s="1"/>
      <c r="G107" s="1"/>
      <c r="H107" s="1"/>
      <c r="I107" s="4"/>
      <c r="K107" s="4"/>
      <c r="M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2:256" ht="15">
      <c r="B108" s="1"/>
      <c r="C108" s="1"/>
      <c r="D108" s="1"/>
      <c r="E108" s="1"/>
      <c r="F108" s="1"/>
      <c r="G108" s="1"/>
      <c r="H108" s="1"/>
      <c r="I108" s="4"/>
      <c r="K108" s="4"/>
      <c r="M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2:256" ht="15">
      <c r="B109" s="1"/>
      <c r="C109" s="1"/>
      <c r="D109" s="1"/>
      <c r="E109" s="1"/>
      <c r="F109" s="1"/>
      <c r="G109" s="1"/>
      <c r="H109" s="1"/>
      <c r="I109" s="4"/>
      <c r="K109" s="4"/>
      <c r="M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2:256" ht="15">
      <c r="B110" s="1"/>
      <c r="C110" s="1"/>
      <c r="D110" s="1"/>
      <c r="E110" s="1"/>
      <c r="F110" s="1"/>
      <c r="G110" s="1"/>
      <c r="H110" s="1"/>
      <c r="I110" s="4"/>
      <c r="K110" s="4"/>
      <c r="M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2:256" ht="15">
      <c r="B111" s="1"/>
      <c r="C111" s="1"/>
      <c r="D111" s="1"/>
      <c r="E111" s="1"/>
      <c r="F111" s="1"/>
      <c r="G111" s="1"/>
      <c r="H111" s="1"/>
      <c r="I111" s="4"/>
      <c r="K111" s="4"/>
      <c r="M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2:256" ht="15">
      <c r="B112" s="1"/>
      <c r="C112" s="1"/>
      <c r="D112" s="1"/>
      <c r="E112" s="1"/>
      <c r="F112" s="1"/>
      <c r="G112" s="1"/>
      <c r="H112" s="1"/>
      <c r="I112" s="4"/>
      <c r="K112" s="4"/>
      <c r="M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2:256" ht="15">
      <c r="B113" s="1"/>
      <c r="C113" s="1"/>
      <c r="D113" s="1"/>
      <c r="E113" s="1"/>
      <c r="F113" s="1"/>
      <c r="G113" s="1"/>
      <c r="H113" s="1"/>
      <c r="I113" s="4"/>
      <c r="K113" s="4"/>
      <c r="M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2:256" ht="15">
      <c r="B114" s="1"/>
      <c r="C114" s="1"/>
      <c r="D114" s="1"/>
      <c r="E114" s="1"/>
      <c r="F114" s="1"/>
      <c r="G114" s="1"/>
      <c r="H114" s="1"/>
      <c r="I114" s="4"/>
      <c r="K114" s="4"/>
      <c r="M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2:256" ht="15">
      <c r="B115" s="1"/>
      <c r="C115" s="1"/>
      <c r="D115" s="1"/>
      <c r="E115" s="1"/>
      <c r="F115" s="1"/>
      <c r="G115" s="1"/>
      <c r="H115" s="1"/>
      <c r="I115" s="4"/>
      <c r="K115" s="4"/>
      <c r="M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2:256" ht="15">
      <c r="B116" s="1"/>
      <c r="C116" s="1"/>
      <c r="D116" s="1"/>
      <c r="E116" s="1"/>
      <c r="F116" s="1"/>
      <c r="G116" s="1"/>
      <c r="H116" s="1"/>
      <c r="I116" s="4"/>
      <c r="K116" s="4"/>
      <c r="M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2:256" ht="15">
      <c r="B117" s="1"/>
      <c r="C117" s="1"/>
      <c r="D117" s="1"/>
      <c r="E117" s="1"/>
      <c r="F117" s="1"/>
      <c r="G117" s="1"/>
      <c r="H117" s="1"/>
      <c r="I117" s="4"/>
      <c r="K117" s="4"/>
      <c r="M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2:256" ht="15">
      <c r="B118" s="1"/>
      <c r="C118" s="1"/>
      <c r="D118" s="1"/>
      <c r="E118" s="1"/>
      <c r="F118" s="1"/>
      <c r="G118" s="1"/>
      <c r="H118" s="1"/>
      <c r="I118" s="4"/>
      <c r="K118" s="4"/>
      <c r="M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2:256" ht="15">
      <c r="B119" s="1"/>
      <c r="C119" s="1"/>
      <c r="D119" s="1"/>
      <c r="E119" s="1"/>
      <c r="F119" s="1"/>
      <c r="G119" s="1"/>
      <c r="H119" s="1"/>
      <c r="I119" s="4"/>
      <c r="K119" s="4"/>
      <c r="M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2:256" ht="15">
      <c r="B120" s="1"/>
      <c r="C120" s="1"/>
      <c r="D120" s="1"/>
      <c r="E120" s="1"/>
      <c r="F120" s="1"/>
      <c r="G120" s="1"/>
      <c r="H120" s="1"/>
      <c r="I120" s="4"/>
      <c r="K120" s="4"/>
      <c r="M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2:256" ht="15">
      <c r="B121" s="1"/>
      <c r="C121" s="1"/>
      <c r="D121" s="1"/>
      <c r="E121" s="1"/>
      <c r="F121" s="1"/>
      <c r="G121" s="1"/>
      <c r="H121" s="1"/>
      <c r="I121" s="4"/>
      <c r="K121" s="4"/>
      <c r="M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256" ht="15">
      <c r="B122" s="1"/>
      <c r="C122" s="1"/>
      <c r="D122" s="1"/>
      <c r="E122" s="1"/>
      <c r="F122" s="1"/>
      <c r="G122" s="1"/>
      <c r="H122" s="1"/>
      <c r="I122" s="4"/>
      <c r="K122" s="4"/>
      <c r="M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2:256" ht="15">
      <c r="B123" s="1"/>
      <c r="C123" s="1"/>
      <c r="D123" s="1"/>
      <c r="E123" s="1"/>
      <c r="F123" s="1"/>
      <c r="G123" s="1"/>
      <c r="H123" s="1"/>
      <c r="I123" s="4"/>
      <c r="K123" s="4"/>
      <c r="M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2:256" ht="15">
      <c r="B124" s="1"/>
      <c r="C124" s="1"/>
      <c r="D124" s="1"/>
      <c r="E124" s="1"/>
      <c r="F124" s="1"/>
      <c r="G124" s="1"/>
      <c r="H124" s="1"/>
      <c r="I124" s="4"/>
      <c r="K124" s="4"/>
      <c r="M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2:256" ht="15">
      <c r="B125" s="1"/>
      <c r="C125" s="1"/>
      <c r="D125" s="1"/>
      <c r="E125" s="1"/>
      <c r="F125" s="1"/>
      <c r="G125" s="1"/>
      <c r="H125" s="1"/>
      <c r="I125" s="4"/>
      <c r="K125" s="4"/>
      <c r="M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2:256" ht="15">
      <c r="B126" s="1"/>
      <c r="C126" s="1"/>
      <c r="D126" s="1"/>
      <c r="E126" s="1"/>
      <c r="F126" s="1"/>
      <c r="G126" s="1"/>
      <c r="H126" s="1"/>
      <c r="I126" s="4"/>
      <c r="K126" s="4"/>
      <c r="M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2:256" ht="15">
      <c r="B127" s="1"/>
      <c r="C127" s="1"/>
      <c r="D127" s="1"/>
      <c r="E127" s="1"/>
      <c r="F127" s="1"/>
      <c r="G127" s="1"/>
      <c r="H127" s="1"/>
      <c r="I127" s="4"/>
      <c r="K127" s="4"/>
      <c r="M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2:256" ht="15">
      <c r="B128" s="1"/>
      <c r="C128" s="1"/>
      <c r="D128" s="1"/>
      <c r="E128" s="1"/>
      <c r="F128" s="1"/>
      <c r="G128" s="1"/>
      <c r="H128" s="1"/>
      <c r="I128" s="4"/>
      <c r="K128" s="4"/>
      <c r="M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2:256" ht="15">
      <c r="B129" s="1"/>
      <c r="C129" s="1"/>
      <c r="D129" s="1"/>
      <c r="E129" s="1"/>
      <c r="F129" s="1"/>
      <c r="G129" s="1"/>
      <c r="H129" s="1"/>
      <c r="I129" s="4"/>
      <c r="K129" s="4"/>
      <c r="M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2:256" ht="15">
      <c r="B130" s="1"/>
      <c r="C130" s="1"/>
      <c r="D130" s="1"/>
      <c r="E130" s="1"/>
      <c r="F130" s="1"/>
      <c r="G130" s="1"/>
      <c r="H130" s="1"/>
      <c r="I130" s="4"/>
      <c r="K130" s="4"/>
      <c r="M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2:256" ht="15">
      <c r="B131" s="1"/>
      <c r="C131" s="1"/>
      <c r="D131" s="1"/>
      <c r="E131" s="1"/>
      <c r="F131" s="1"/>
      <c r="G131" s="1"/>
      <c r="H131" s="1"/>
      <c r="I131" s="4"/>
      <c r="K131" s="4"/>
      <c r="M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2:256" ht="15">
      <c r="B132" s="1"/>
      <c r="C132" s="1"/>
      <c r="D132" s="1"/>
      <c r="E132" s="1"/>
      <c r="F132" s="1"/>
      <c r="G132" s="1"/>
      <c r="H132" s="1"/>
      <c r="I132" s="4"/>
      <c r="K132" s="4"/>
      <c r="M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2:256" ht="15">
      <c r="B133" s="1"/>
      <c r="C133" s="1"/>
      <c r="D133" s="1"/>
      <c r="E133" s="1"/>
      <c r="F133" s="1"/>
      <c r="G133" s="1"/>
      <c r="H133" s="1"/>
      <c r="I133" s="4"/>
      <c r="K133" s="4"/>
      <c r="M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2:256" ht="15">
      <c r="B134" s="1"/>
      <c r="C134" s="1"/>
      <c r="D134" s="1"/>
      <c r="E134" s="1"/>
      <c r="F134" s="1"/>
      <c r="G134" s="1"/>
      <c r="H134" s="1"/>
      <c r="I134" s="4"/>
      <c r="K134" s="4"/>
      <c r="M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2:256" ht="15">
      <c r="B135" s="1"/>
      <c r="C135" s="1"/>
      <c r="D135" s="1"/>
      <c r="E135" s="1"/>
      <c r="F135" s="1"/>
      <c r="G135" s="1"/>
      <c r="H135" s="1"/>
      <c r="I135" s="4"/>
      <c r="K135" s="4"/>
      <c r="M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2:256" ht="15">
      <c r="B136" s="1"/>
      <c r="C136" s="1"/>
      <c r="D136" s="1"/>
      <c r="E136" s="1"/>
      <c r="F136" s="1"/>
      <c r="G136" s="1"/>
      <c r="H136" s="1"/>
      <c r="I136" s="4"/>
      <c r="K136" s="4"/>
      <c r="M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2:256" ht="15">
      <c r="B137" s="1"/>
      <c r="C137" s="1"/>
      <c r="D137" s="1"/>
      <c r="E137" s="1"/>
      <c r="F137" s="1"/>
      <c r="G137" s="1"/>
      <c r="H137" s="1"/>
      <c r="I137" s="4"/>
      <c r="K137" s="4"/>
      <c r="M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2:256" ht="15">
      <c r="B138" s="1"/>
      <c r="C138" s="1"/>
      <c r="D138" s="1"/>
      <c r="E138" s="1"/>
      <c r="F138" s="1"/>
      <c r="G138" s="1"/>
      <c r="H138" s="1"/>
      <c r="I138" s="4"/>
      <c r="K138" s="4"/>
      <c r="M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2:256" ht="15">
      <c r="B139" s="1"/>
      <c r="C139" s="1"/>
      <c r="D139" s="1"/>
      <c r="E139" s="1"/>
      <c r="F139" s="1"/>
      <c r="G139" s="1"/>
      <c r="H139" s="1"/>
      <c r="I139" s="4"/>
      <c r="K139" s="4"/>
      <c r="M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2:256" ht="15">
      <c r="B140" s="1"/>
      <c r="C140" s="1"/>
      <c r="D140" s="1"/>
      <c r="E140" s="1"/>
      <c r="F140" s="1"/>
      <c r="G140" s="1"/>
      <c r="H140" s="1"/>
      <c r="I140" s="4"/>
      <c r="K140" s="4"/>
      <c r="M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2:256" ht="15">
      <c r="B141" s="1"/>
      <c r="C141" s="1"/>
      <c r="D141" s="1"/>
      <c r="E141" s="1"/>
      <c r="F141" s="1"/>
      <c r="G141" s="1"/>
      <c r="H141" s="1"/>
      <c r="I141" s="4"/>
      <c r="K141" s="4"/>
      <c r="M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2:256" ht="15">
      <c r="B142" s="1"/>
      <c r="C142" s="1"/>
      <c r="D142" s="1"/>
      <c r="E142" s="1"/>
      <c r="F142" s="1"/>
      <c r="G142" s="1"/>
      <c r="H142" s="1"/>
      <c r="I142" s="4"/>
      <c r="K142" s="4"/>
      <c r="M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2:256" ht="15">
      <c r="B143" s="1"/>
      <c r="C143" s="1"/>
      <c r="D143" s="1"/>
      <c r="E143" s="1"/>
      <c r="F143" s="1"/>
      <c r="G143" s="1"/>
      <c r="H143" s="1"/>
      <c r="I143" s="4"/>
      <c r="K143" s="4"/>
      <c r="M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2:256" ht="15">
      <c r="B144" s="1"/>
      <c r="C144" s="1"/>
      <c r="D144" s="1"/>
      <c r="E144" s="1"/>
      <c r="F144" s="1"/>
      <c r="G144" s="1"/>
      <c r="H144" s="1"/>
      <c r="I144" s="4"/>
      <c r="K144" s="4"/>
      <c r="M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2:256" ht="15">
      <c r="B145" s="1"/>
      <c r="C145" s="1"/>
      <c r="D145" s="1"/>
      <c r="E145" s="1"/>
      <c r="F145" s="1"/>
      <c r="G145" s="1"/>
      <c r="H145" s="1"/>
      <c r="I145" s="4"/>
      <c r="K145" s="4"/>
      <c r="M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2:256" ht="15">
      <c r="B146" s="1"/>
      <c r="C146" s="1"/>
      <c r="D146" s="1"/>
      <c r="E146" s="1"/>
      <c r="F146" s="1"/>
      <c r="G146" s="1"/>
      <c r="H146" s="1"/>
      <c r="I146" s="4"/>
      <c r="K146" s="4"/>
      <c r="M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2:256" ht="15">
      <c r="B147" s="1"/>
      <c r="C147" s="1"/>
      <c r="D147" s="1"/>
      <c r="E147" s="1"/>
      <c r="F147" s="1"/>
      <c r="G147" s="1"/>
      <c r="H147" s="1"/>
      <c r="I147" s="4"/>
      <c r="K147" s="4"/>
      <c r="M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2:256" ht="15">
      <c r="B148" s="1"/>
      <c r="C148" s="1"/>
      <c r="D148" s="1"/>
      <c r="E148" s="1"/>
      <c r="F148" s="1"/>
      <c r="G148" s="1"/>
      <c r="H148" s="1"/>
      <c r="I148" s="4"/>
      <c r="K148" s="4"/>
      <c r="M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2:256" ht="15">
      <c r="B149" s="1"/>
      <c r="C149" s="1"/>
      <c r="D149" s="1"/>
      <c r="E149" s="1"/>
      <c r="F149" s="1"/>
      <c r="G149" s="1"/>
      <c r="H149" s="1"/>
      <c r="I149" s="4"/>
      <c r="K149" s="4"/>
      <c r="M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2:256" ht="15">
      <c r="B150" s="1"/>
      <c r="C150" s="1"/>
      <c r="D150" s="1"/>
      <c r="E150" s="1"/>
      <c r="F150" s="1"/>
      <c r="G150" s="1"/>
      <c r="H150" s="1"/>
      <c r="I150" s="4"/>
      <c r="K150" s="4"/>
      <c r="M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2:256" ht="15">
      <c r="B151" s="1"/>
      <c r="C151" s="1"/>
      <c r="D151" s="1"/>
      <c r="E151" s="1"/>
      <c r="F151" s="1"/>
      <c r="G151" s="1"/>
      <c r="H151" s="1"/>
      <c r="I151" s="4"/>
      <c r="K151" s="4"/>
      <c r="M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256" ht="15">
      <c r="B152" s="1"/>
      <c r="C152" s="1"/>
      <c r="D152" s="1"/>
      <c r="E152" s="1"/>
      <c r="F152" s="1"/>
      <c r="G152" s="1"/>
      <c r="H152" s="1"/>
      <c r="I152" s="4"/>
      <c r="K152" s="4"/>
      <c r="M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2:256" ht="15">
      <c r="B153" s="1"/>
      <c r="C153" s="1"/>
      <c r="D153" s="1"/>
      <c r="E153" s="1"/>
      <c r="F153" s="1"/>
      <c r="G153" s="1"/>
      <c r="H153" s="1"/>
      <c r="I153" s="4"/>
      <c r="K153" s="4"/>
      <c r="M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2:256" ht="15">
      <c r="B154" s="1"/>
      <c r="C154" s="1"/>
      <c r="D154" s="1"/>
      <c r="E154" s="1"/>
      <c r="F154" s="1"/>
      <c r="G154" s="1"/>
      <c r="H154" s="1"/>
      <c r="I154" s="4"/>
      <c r="K154" s="4"/>
      <c r="M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2:256" ht="15">
      <c r="B155" s="1"/>
      <c r="C155" s="1"/>
      <c r="D155" s="1"/>
      <c r="E155" s="1"/>
      <c r="F155" s="1"/>
      <c r="G155" s="1"/>
      <c r="H155" s="1"/>
      <c r="I155" s="4"/>
      <c r="K155" s="4"/>
      <c r="M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2:256" ht="15">
      <c r="B156" s="1"/>
      <c r="C156" s="1"/>
      <c r="D156" s="1"/>
      <c r="E156" s="1"/>
      <c r="F156" s="1"/>
      <c r="G156" s="1"/>
      <c r="H156" s="1"/>
      <c r="I156" s="4"/>
      <c r="K156" s="4"/>
      <c r="M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2:256" ht="15">
      <c r="B157" s="1"/>
      <c r="C157" s="1"/>
      <c r="D157" s="1"/>
      <c r="E157" s="1"/>
      <c r="F157" s="1"/>
      <c r="G157" s="1"/>
      <c r="H157" s="1"/>
      <c r="I157" s="4"/>
      <c r="K157" s="4"/>
      <c r="M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2:256" ht="15">
      <c r="B158" s="1"/>
      <c r="C158" s="1"/>
      <c r="D158" s="1"/>
      <c r="E158" s="1"/>
      <c r="F158" s="1"/>
      <c r="G158" s="1"/>
      <c r="H158" s="1"/>
      <c r="I158" s="4"/>
      <c r="K158" s="4"/>
      <c r="M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2:256" ht="15">
      <c r="B159" s="1"/>
      <c r="C159" s="1"/>
      <c r="D159" s="1"/>
      <c r="E159" s="1"/>
      <c r="F159" s="1"/>
      <c r="G159" s="1"/>
      <c r="H159" s="1"/>
      <c r="I159" s="4"/>
      <c r="K159" s="4"/>
      <c r="M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2:256" ht="15">
      <c r="B160" s="1"/>
      <c r="C160" s="1"/>
      <c r="D160" s="1"/>
      <c r="E160" s="1"/>
      <c r="F160" s="1"/>
      <c r="G160" s="1"/>
      <c r="H160" s="1"/>
      <c r="I160" s="4"/>
      <c r="K160" s="4"/>
      <c r="M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2:256" ht="15">
      <c r="B161" s="1"/>
      <c r="C161" s="1"/>
      <c r="D161" s="1"/>
      <c r="E161" s="1"/>
      <c r="F161" s="1"/>
      <c r="G161" s="1"/>
      <c r="H161" s="1"/>
      <c r="I161" s="4"/>
      <c r="K161" s="4"/>
      <c r="M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2:256" ht="15">
      <c r="B162" s="1"/>
      <c r="C162" s="1"/>
      <c r="D162" s="1"/>
      <c r="E162" s="1"/>
      <c r="F162" s="1"/>
      <c r="G162" s="1"/>
      <c r="H162" s="1"/>
      <c r="I162" s="4"/>
      <c r="K162" s="4"/>
      <c r="M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2:256" ht="15">
      <c r="B163" s="1"/>
      <c r="C163" s="1"/>
      <c r="D163" s="1"/>
      <c r="E163" s="1"/>
      <c r="F163" s="1"/>
      <c r="G163" s="1"/>
      <c r="H163" s="1"/>
      <c r="I163" s="4"/>
      <c r="K163" s="4"/>
      <c r="M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2:256" ht="15">
      <c r="B164" s="1"/>
      <c r="C164" s="1"/>
      <c r="D164" s="1"/>
      <c r="E164" s="1"/>
      <c r="F164" s="1"/>
      <c r="G164" s="1"/>
      <c r="H164" s="1"/>
      <c r="I164" s="4"/>
      <c r="K164" s="4"/>
      <c r="M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4:256" ht="15">
      <c r="D165" s="1"/>
      <c r="E165" s="1"/>
      <c r="F165" s="1"/>
      <c r="G165" s="1"/>
      <c r="H165" s="1"/>
      <c r="I165" s="4"/>
      <c r="K165" s="4"/>
      <c r="M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4:256" ht="15">
      <c r="D166" s="1"/>
      <c r="E166" s="1"/>
      <c r="F166" s="1"/>
      <c r="G166" s="1"/>
      <c r="H166" s="1"/>
      <c r="I166" s="4"/>
      <c r="K166" s="4"/>
      <c r="M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4:256" ht="15">
      <c r="D167" s="1"/>
      <c r="E167" s="1"/>
      <c r="F167" s="1"/>
      <c r="G167" s="1"/>
      <c r="H167" s="1"/>
      <c r="I167" s="4"/>
      <c r="K167" s="4"/>
      <c r="M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4:256" ht="15">
      <c r="D168" s="1"/>
      <c r="E168" s="1"/>
      <c r="F168" s="1"/>
      <c r="G168" s="1"/>
      <c r="H168" s="1"/>
      <c r="I168" s="4"/>
      <c r="K168" s="4"/>
      <c r="M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4:256" ht="15">
      <c r="D169" s="1"/>
      <c r="E169" s="1"/>
      <c r="F169" s="1"/>
      <c r="G169" s="1"/>
      <c r="H169" s="1"/>
      <c r="I169" s="4"/>
      <c r="K169" s="4"/>
      <c r="M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4:256" ht="15">
      <c r="D170" s="1"/>
      <c r="E170" s="1"/>
      <c r="F170" s="1"/>
      <c r="G170" s="1"/>
      <c r="H170" s="1"/>
      <c r="I170" s="4"/>
      <c r="K170" s="4"/>
      <c r="M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4:256" ht="15">
      <c r="D171" s="1"/>
      <c r="E171" s="1"/>
      <c r="F171" s="1"/>
      <c r="G171" s="1"/>
      <c r="H171" s="1"/>
      <c r="I171" s="4"/>
      <c r="K171" s="4"/>
      <c r="M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4:256" ht="15">
      <c r="D172" s="1"/>
      <c r="E172" s="1"/>
      <c r="F172" s="1"/>
      <c r="G172" s="1"/>
      <c r="H172" s="1"/>
      <c r="I172" s="4"/>
      <c r="K172" s="4"/>
      <c r="M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4:256" ht="15">
      <c r="D173" s="1"/>
      <c r="E173" s="1"/>
      <c r="F173" s="1"/>
      <c r="G173" s="1"/>
      <c r="H173" s="1"/>
      <c r="I173" s="4"/>
      <c r="K173" s="4"/>
      <c r="M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4:256" ht="15">
      <c r="D174" s="1"/>
      <c r="E174" s="1"/>
      <c r="F174" s="1"/>
      <c r="K174" s="4"/>
      <c r="M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4:256" ht="15">
      <c r="D175" s="1"/>
      <c r="E175" s="1"/>
      <c r="F175" s="1"/>
      <c r="K175" s="4"/>
      <c r="M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1:256" ht="15">
      <c r="K176" s="4"/>
      <c r="M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</sheetData>
  <sheetProtection sheet="1" objects="1" scenarios="1"/>
  <printOptions/>
  <pageMargins left="0.5" right="0" top="0.32" bottom="0.31" header="0.23" footer="0.23"/>
  <pageSetup firstPageNumber="1" useFirstPageNumber="1" fitToHeight="1" fitToWidth="1" horizontalDpi="600" verticalDpi="600" orientation="landscape" pageOrder="overThenDown" scale="3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0"/>
  <sheetViews>
    <sheetView zoomScale="75" zoomScaleNormal="75" zoomScalePageLayoutView="0" workbookViewId="0" topLeftCell="A2">
      <selection activeCell="F7" sqref="F7"/>
    </sheetView>
  </sheetViews>
  <sheetFormatPr defaultColWidth="8.88671875" defaultRowHeight="15.75"/>
  <cols>
    <col min="1" max="1" width="20.21484375" style="11" customWidth="1"/>
    <col min="2" max="3" width="12.6640625" style="0" customWidth="1"/>
    <col min="4" max="4" width="14.6640625" style="2" customWidth="1"/>
    <col min="5" max="6" width="12.6640625" style="0" customWidth="1"/>
    <col min="7" max="7" width="9.4453125" style="0" customWidth="1"/>
    <col min="8" max="10" width="8.77734375" style="0" customWidth="1"/>
    <col min="11" max="11" width="11.3359375" style="0" customWidth="1"/>
  </cols>
  <sheetData>
    <row r="1" spans="1:11" ht="15">
      <c r="A1" s="267" t="s">
        <v>383</v>
      </c>
      <c r="B1" s="268" t="s">
        <v>72</v>
      </c>
      <c r="C1" s="269"/>
      <c r="D1" s="270"/>
      <c r="E1" s="271"/>
      <c r="F1" s="7"/>
      <c r="G1" s="7"/>
      <c r="H1" s="8"/>
      <c r="I1" s="12"/>
      <c r="J1" s="7"/>
      <c r="K1" s="12"/>
    </row>
    <row r="2" spans="4:11" ht="15">
      <c r="D2" s="9" t="s">
        <v>13</v>
      </c>
      <c r="H2" s="2"/>
      <c r="I2" s="3"/>
      <c r="K2" s="3"/>
    </row>
    <row r="3" spans="1:5" ht="15">
      <c r="A3" s="46" t="s">
        <v>73</v>
      </c>
      <c r="B3" s="11" t="s">
        <v>74</v>
      </c>
      <c r="C3" s="11" t="s">
        <v>75</v>
      </c>
      <c r="D3" s="9" t="s">
        <v>76</v>
      </c>
      <c r="E3" s="11" t="s">
        <v>21</v>
      </c>
    </row>
    <row r="4" spans="2:6" ht="15">
      <c r="B4" s="11" t="s">
        <v>77</v>
      </c>
      <c r="C4" s="11" t="s">
        <v>15</v>
      </c>
      <c r="D4" s="9" t="s">
        <v>16</v>
      </c>
      <c r="E4" s="11" t="s">
        <v>25</v>
      </c>
      <c r="F4" s="11" t="s">
        <v>431</v>
      </c>
    </row>
    <row r="5" spans="2:4" ht="15">
      <c r="B5" s="11" t="s">
        <v>78</v>
      </c>
      <c r="C5" s="11" t="s">
        <v>25</v>
      </c>
      <c r="D5" s="9" t="s">
        <v>26</v>
      </c>
    </row>
    <row r="6" spans="1:6" ht="15.75" thickBot="1">
      <c r="A6" s="27" t="s">
        <v>79</v>
      </c>
      <c r="B6" s="26" t="s">
        <v>80</v>
      </c>
      <c r="C6" s="26" t="s">
        <v>80</v>
      </c>
      <c r="D6" s="17" t="s">
        <v>80</v>
      </c>
      <c r="E6" s="26" t="s">
        <v>80</v>
      </c>
      <c r="F6" s="26" t="s">
        <v>80</v>
      </c>
    </row>
    <row r="7" spans="1:6" ht="15">
      <c r="A7" s="53" t="str">
        <f>Inputs!A19</f>
        <v>Steel/Glass Tower </v>
      </c>
      <c r="B7" s="138">
        <f>Inputs!B19*Inputs!H63</f>
        <v>0</v>
      </c>
      <c r="C7" s="139">
        <f>Inputs!C19*Inputs!I63</f>
        <v>0</v>
      </c>
      <c r="D7" s="140">
        <f>Inputs!D19*Inputs!F63*Inputs!E19/100</f>
        <v>0</v>
      </c>
      <c r="E7" s="141">
        <f>Inputs!F19*Inputs!G63</f>
        <v>0</v>
      </c>
      <c r="F7" s="142">
        <f>Inputs!C52*Inputs!C61+(Inputs!B14/Inputs!C53)*(Inputs!C54/100)*Inputs!C61</f>
        <v>1000</v>
      </c>
    </row>
    <row r="8" spans="1:6" ht="15">
      <c r="A8" s="51" t="str">
        <f>Inputs!A20</f>
        <v>Cast in Place Tower </v>
      </c>
      <c r="B8" s="143">
        <f>Inputs!B20*Inputs!H63</f>
        <v>0</v>
      </c>
      <c r="C8" s="144">
        <f>Inputs!C20*Inputs!I63</f>
        <v>0</v>
      </c>
      <c r="D8" s="145">
        <f>Inputs!D20*Inputs!F63*Inputs!E20/100</f>
        <v>0</v>
      </c>
      <c r="E8" s="146">
        <f>Inputs!F20*Inputs!G63</f>
        <v>0</v>
      </c>
      <c r="F8" s="147">
        <f>Inputs!C52*Inputs!C61+(Inputs!B14/Inputs!C53)*(Inputs!C54/100)*Inputs!C61</f>
        <v>1000</v>
      </c>
    </row>
    <row r="9" spans="1:6" ht="15">
      <c r="A9" s="51" t="str">
        <f>Inputs!A21</f>
        <v>Stave Tower </v>
      </c>
      <c r="B9" s="143">
        <f>Inputs!B21*Inputs!H63</f>
        <v>0</v>
      </c>
      <c r="C9" s="144">
        <f>Inputs!C21*Inputs!I63</f>
        <v>0</v>
      </c>
      <c r="D9" s="145">
        <f>Inputs!D21*Inputs!F63*Inputs!E21/100</f>
        <v>0</v>
      </c>
      <c r="E9" s="146">
        <f>Inputs!F21*Inputs!G63</f>
        <v>0</v>
      </c>
      <c r="F9" s="147">
        <f>Inputs!C52*Inputs!C61+(Inputs!B14/Inputs!C53)*(Inputs!C54/100)*Inputs!C61</f>
        <v>1000</v>
      </c>
    </row>
    <row r="10" spans="1:6" ht="15">
      <c r="A10" s="51" t="str">
        <f>Inputs!A22</f>
        <v>Above Ground Bunker </v>
      </c>
      <c r="B10" s="143">
        <f>Inputs!B22*Inputs!H63</f>
        <v>5805.528</v>
      </c>
      <c r="C10" s="144">
        <f>Inputs!C22*Inputs!G63</f>
        <v>0</v>
      </c>
      <c r="D10" s="144">
        <f>Inputs!D22*Inputs!I63*Inputs!E22/100</f>
        <v>0</v>
      </c>
      <c r="E10" s="146">
        <f>Inputs!F22*Inputs!G63</f>
        <v>0</v>
      </c>
      <c r="F10" s="147">
        <f>(Inputs!C40+Inputs!C42+Inputs!C41)*Inputs!C61</f>
        <v>2045.0897418630755</v>
      </c>
    </row>
    <row r="11" spans="1:6" ht="15">
      <c r="A11" s="51" t="str">
        <f>Inputs!A23</f>
        <v>Packed Pile </v>
      </c>
      <c r="B11" s="143">
        <f>Inputs!B23*Inputs!H63</f>
        <v>1207.8</v>
      </c>
      <c r="C11" s="144">
        <f>Inputs!C23*Inputs!G63</f>
        <v>0</v>
      </c>
      <c r="D11" s="144">
        <f>Inputs!D23*Inputs!I63*Inputs!E23/100</f>
        <v>0</v>
      </c>
      <c r="E11" s="146">
        <f>Inputs!F23*Inputs!G63</f>
        <v>0</v>
      </c>
      <c r="F11" s="147">
        <f>(Inputs!I40+Inputs!I41+Inputs!I42)*Inputs!C61</f>
        <v>2888.639762272374</v>
      </c>
    </row>
    <row r="12" spans="1:8" ht="15">
      <c r="A12" s="51" t="str">
        <f>Inputs!A24</f>
        <v>Bagger </v>
      </c>
      <c r="B12" s="143">
        <f>Inputs!B24*Inputs!H63</f>
        <v>887.04</v>
      </c>
      <c r="C12" s="144">
        <f>Inputs!C23*Inputs!G63</f>
        <v>0</v>
      </c>
      <c r="D12" s="145">
        <f>Inputs!D24*Inputs!F63*Inputs!E24/100</f>
        <v>0</v>
      </c>
      <c r="E12" s="146">
        <f>Inputs!F24*Inputs!G63</f>
        <v>0</v>
      </c>
      <c r="F12" s="147">
        <f>(Inputs!I33+Inputs!I34+Inputs!I35)*Inputs!C61</f>
        <v>1626.7489711934154</v>
      </c>
      <c r="H12" s="31"/>
    </row>
    <row r="13" spans="1:8" ht="15">
      <c r="A13" s="51" t="str">
        <f>Inputs!A25</f>
        <v>Silage Bale Wrap</v>
      </c>
      <c r="B13" s="143">
        <f>Inputs!B25*Inputs!H63</f>
        <v>1584</v>
      </c>
      <c r="C13" s="144">
        <f>Inputs!C25*Inputs!G63</f>
        <v>0</v>
      </c>
      <c r="D13" s="145">
        <f>Inputs!D25*Inputs!F63*Inputs!E25/100</f>
        <v>0</v>
      </c>
      <c r="E13" s="146">
        <f>Inputs!F25*Inputs!G63</f>
        <v>0</v>
      </c>
      <c r="F13" s="147">
        <f>(Inputs!I47+Inputs!I48+Inputs!I49)*Inputs!C61</f>
        <v>4266.666666666666</v>
      </c>
      <c r="H13" s="31"/>
    </row>
    <row r="14" spans="1:8" ht="15.75" thickBot="1">
      <c r="A14" s="52" t="str">
        <f>Inputs!A26</f>
        <v>Dry Baled Hay </v>
      </c>
      <c r="B14" s="148">
        <f>Inputs!B26*Inputs!H63</f>
        <v>4857.599999999999</v>
      </c>
      <c r="C14" s="149">
        <f>Inputs!C26*Inputs!G63</f>
        <v>0</v>
      </c>
      <c r="D14" s="150">
        <f>Inputs!D26*Inputs!F63*(Inputs!E26/100)</f>
        <v>0</v>
      </c>
      <c r="E14" s="151">
        <f>Inputs!F26*Inputs!G63</f>
        <v>0</v>
      </c>
      <c r="F14" s="152">
        <f>(+Inputs!C47+Inputs!C48+Inputs!C49)*Inputs!C61</f>
        <v>522.3546939299644</v>
      </c>
      <c r="H14" s="31"/>
    </row>
    <row r="15" spans="1:11" ht="15">
      <c r="A15" s="28"/>
      <c r="B15" s="29"/>
      <c r="C15" s="29"/>
      <c r="D15" s="30"/>
      <c r="E15" s="31"/>
      <c r="F15" s="31"/>
      <c r="G15" s="31"/>
      <c r="H15" s="31"/>
      <c r="I15" s="31"/>
      <c r="J15" s="30"/>
      <c r="K15" s="32"/>
    </row>
    <row r="16" spans="1:11" ht="15">
      <c r="A16" s="28"/>
      <c r="B16" s="26" t="s">
        <v>81</v>
      </c>
      <c r="C16" s="17" t="s">
        <v>82</v>
      </c>
      <c r="D16" s="13" t="s">
        <v>83</v>
      </c>
      <c r="E16" s="265" t="s">
        <v>18</v>
      </c>
      <c r="G16" s="31"/>
      <c r="H16" s="31"/>
      <c r="I16" s="31"/>
      <c r="J16" s="30"/>
      <c r="K16" s="32"/>
    </row>
    <row r="17" spans="1:11" ht="15">
      <c r="A17" s="28"/>
      <c r="B17" s="26" t="s">
        <v>84</v>
      </c>
      <c r="C17" s="17" t="s">
        <v>85</v>
      </c>
      <c r="D17" s="13" t="s">
        <v>86</v>
      </c>
      <c r="E17" s="265" t="s">
        <v>87</v>
      </c>
      <c r="G17" s="31"/>
      <c r="H17" s="31"/>
      <c r="I17" s="31"/>
      <c r="J17" s="30"/>
      <c r="K17" s="32"/>
    </row>
    <row r="18" spans="1:11" ht="15">
      <c r="A18" s="28"/>
      <c r="B18" s="26" t="s">
        <v>88</v>
      </c>
      <c r="C18" s="17"/>
      <c r="D18" s="13" t="s">
        <v>28</v>
      </c>
      <c r="E18" s="265" t="s">
        <v>89</v>
      </c>
      <c r="G18" s="31"/>
      <c r="H18" s="31"/>
      <c r="I18" s="31"/>
      <c r="J18" s="30"/>
      <c r="K18" s="32"/>
    </row>
    <row r="19" spans="1:11" ht="15.75" thickBot="1">
      <c r="A19" s="27" t="s">
        <v>79</v>
      </c>
      <c r="B19" s="26" t="s">
        <v>80</v>
      </c>
      <c r="C19" s="17" t="s">
        <v>80</v>
      </c>
      <c r="D19" s="13" t="s">
        <v>80</v>
      </c>
      <c r="E19" s="265" t="s">
        <v>90</v>
      </c>
      <c r="G19" s="31"/>
      <c r="H19" s="31"/>
      <c r="I19" s="31"/>
      <c r="J19" s="30"/>
      <c r="K19" s="32"/>
    </row>
    <row r="20" spans="1:11" ht="15">
      <c r="A20" s="53" t="str">
        <f>A7</f>
        <v>Steel/Glass Tower </v>
      </c>
      <c r="B20" s="153">
        <f>(1.15*Inputs!C52*(Inputs!E30/100)*Inputs!B30*0.45*Inputs!C63/7.4)+(Inputs!B14/Inputs!C53)*10*Inputs!C62</f>
        <v>140</v>
      </c>
      <c r="C20" s="141">
        <v>0</v>
      </c>
      <c r="D20" s="141">
        <f>(Inputs!G19/100)*Inputs!B14*Inputs!B15</f>
        <v>2040</v>
      </c>
      <c r="E20" s="154">
        <f>SUM(B7:F7)+SUM(B20:D20)</f>
        <v>3180</v>
      </c>
      <c r="G20" s="31"/>
      <c r="H20" s="31"/>
      <c r="I20" s="31"/>
      <c r="J20" s="30"/>
      <c r="K20" s="32"/>
    </row>
    <row r="21" spans="1:11" ht="15">
      <c r="A21" s="51" t="str">
        <f aca="true" t="shared" si="0" ref="A21:A27">A8</f>
        <v>Cast in Place Tower </v>
      </c>
      <c r="B21" s="155">
        <f>(1.15*Inputs!C52*(Inputs!E30/100)*Inputs!B30*0.45*Inputs!C63/7.4)+(Inputs!B14/Inputs!C53)*10*Inputs!C62</f>
        <v>140</v>
      </c>
      <c r="C21" s="146">
        <v>0</v>
      </c>
      <c r="D21" s="146">
        <f>(Inputs!G20/100)*Inputs!B14*Inputs!B15</f>
        <v>4420</v>
      </c>
      <c r="E21" s="156">
        <f aca="true" t="shared" si="1" ref="E21:E27">SUM(B8:F8)+SUM(B21:D21)</f>
        <v>5560</v>
      </c>
      <c r="G21" s="31"/>
      <c r="H21" s="31"/>
      <c r="I21" s="31"/>
      <c r="J21" s="30"/>
      <c r="K21" s="32"/>
    </row>
    <row r="22" spans="1:11" ht="15">
      <c r="A22" s="51" t="str">
        <f t="shared" si="0"/>
        <v>Stave Tower </v>
      </c>
      <c r="B22" s="155">
        <f>(1.15*Inputs!C52*(Inputs!E30/100)*Inputs!B30*0.45*Inputs!C63/7.4)+(Inputs!B14/Inputs!C53)*10*Inputs!C62</f>
        <v>140</v>
      </c>
      <c r="C22" s="146">
        <v>0</v>
      </c>
      <c r="D22" s="146">
        <f>(Inputs!G21/100)*Inputs!B14*Inputs!B15</f>
        <v>4420</v>
      </c>
      <c r="E22" s="156">
        <f t="shared" si="1"/>
        <v>5560</v>
      </c>
      <c r="G22" s="31"/>
      <c r="H22" s="31"/>
      <c r="I22" s="31"/>
      <c r="J22" s="30"/>
      <c r="K22" s="32"/>
    </row>
    <row r="23" spans="1:11" ht="15">
      <c r="A23" s="51" t="str">
        <f t="shared" si="0"/>
        <v>Above Ground Bunker </v>
      </c>
      <c r="B23" s="155">
        <f>1.15*(Inputs!C40*(Inputs!E32/100)*Inputs!B32+Inputs!C42*Inputs!B33*(Inputs!E33/100))*0.45*Inputs!C63/7.4</f>
        <v>0</v>
      </c>
      <c r="C23" s="146">
        <f>Inputs!C39</f>
        <v>186.56000000000003</v>
      </c>
      <c r="D23" s="146">
        <f>(Inputs!G22/100)*Inputs!B14*Inputs!B15</f>
        <v>5440</v>
      </c>
      <c r="E23" s="156">
        <f t="shared" si="1"/>
        <v>13477.177741863077</v>
      </c>
      <c r="G23" s="31"/>
      <c r="H23" s="31"/>
      <c r="I23" s="31"/>
      <c r="J23" s="30"/>
      <c r="K23" s="32"/>
    </row>
    <row r="24" spans="1:11" ht="15">
      <c r="A24" s="51" t="str">
        <f t="shared" si="0"/>
        <v>Packed Pile </v>
      </c>
      <c r="B24" s="155">
        <f>1.15*(Inputs!I40*(Inputs!E32/100)*Inputs!B32+Inputs!I42*Inputs!B33*(Inputs!E33/100))*0.45*Inputs!C63/7.4</f>
        <v>0</v>
      </c>
      <c r="C24" s="146">
        <f>Inputs!I39</f>
        <v>390.9667357104581</v>
      </c>
      <c r="D24" s="146">
        <f>(Inputs!G23/100)*Inputs!B14*Inputs!B15</f>
        <v>5950</v>
      </c>
      <c r="E24" s="156">
        <f t="shared" si="1"/>
        <v>10437.406497982833</v>
      </c>
      <c r="G24" s="31"/>
      <c r="H24" s="31"/>
      <c r="I24" s="31"/>
      <c r="J24" s="30"/>
      <c r="K24" s="32"/>
    </row>
    <row r="25" spans="1:11" ht="15">
      <c r="A25" s="51" t="str">
        <f t="shared" si="0"/>
        <v>Bagger </v>
      </c>
      <c r="B25" s="155">
        <f>1.15*(Inputs!I54*Inputs!B31*(Inputs!E31/100)+Inputs!C42*Inputs!B33*(Inputs!E33/100))*0.45*Inputs!C63/7.4</f>
        <v>0</v>
      </c>
      <c r="C25" s="146">
        <f>Inputs!I32*Inputs!I31</f>
        <v>0</v>
      </c>
      <c r="D25" s="146">
        <f>(Inputs!G24/100)*Inputs!B14*Inputs!B15</f>
        <v>3740</v>
      </c>
      <c r="E25" s="156">
        <f t="shared" si="1"/>
        <v>6253.788971193415</v>
      </c>
      <c r="G25" s="166"/>
      <c r="H25" s="31"/>
      <c r="I25" s="31"/>
      <c r="J25" s="30"/>
      <c r="K25" s="32"/>
    </row>
    <row r="26" spans="1:11" ht="15">
      <c r="A26" s="51" t="str">
        <f t="shared" si="0"/>
        <v>Silage Bale Wrap</v>
      </c>
      <c r="B26" s="155">
        <f>1.15*((Inputs!I47+Inputs!I48)*Inputs!B34*(Inputs!E34/100))*0.45*Inputs!C63/7.4</f>
        <v>0</v>
      </c>
      <c r="C26" s="146">
        <f>Inputs!I45*Inputs!I46</f>
        <v>7680</v>
      </c>
      <c r="D26" s="146">
        <f>(Inputs!G25/100)*Inputs!B14*Inputs!B15</f>
        <v>4760.000000000001</v>
      </c>
      <c r="E26" s="156">
        <f t="shared" si="1"/>
        <v>18290.666666666664</v>
      </c>
      <c r="G26" s="31"/>
      <c r="H26" s="31"/>
      <c r="I26" s="31"/>
      <c r="J26" s="30"/>
      <c r="K26" s="32"/>
    </row>
    <row r="27" spans="1:11" ht="15.75" thickBot="1">
      <c r="A27" s="52" t="str">
        <f t="shared" si="0"/>
        <v>Dry Baled Hay </v>
      </c>
      <c r="B27" s="157">
        <f>1.15*(Inputs!C47*Inputs!B36*(Inputs!E36/100)+Inputs!C48*Inputs!B37*(Inputs!E37/100))*0.45*Inputs!C63/7.4</f>
        <v>0</v>
      </c>
      <c r="C27" s="151">
        <f>Inputs!C45*Inputs!C46</f>
        <v>0</v>
      </c>
      <c r="D27" s="151">
        <f>(Inputs!G26/100)*Inputs!B14*Inputs!B15</f>
        <v>2380.0000000000005</v>
      </c>
      <c r="E27" s="158">
        <f t="shared" si="1"/>
        <v>7759.9546939299635</v>
      </c>
      <c r="G27" s="31"/>
      <c r="H27" s="31"/>
      <c r="I27" s="31"/>
      <c r="J27" s="30"/>
      <c r="K27" s="32"/>
    </row>
    <row r="28" spans="1:11" ht="15">
      <c r="A28" s="28"/>
      <c r="B28" s="31"/>
      <c r="C28" s="31"/>
      <c r="D28" s="31"/>
      <c r="E28" s="30"/>
      <c r="F28" s="41"/>
      <c r="G28" s="31"/>
      <c r="H28" s="31"/>
      <c r="I28" s="31"/>
      <c r="J28" s="30"/>
      <c r="K28" s="32"/>
    </row>
    <row r="29" spans="1:11" ht="15">
      <c r="A29" s="28"/>
      <c r="B29" s="167" t="s">
        <v>91</v>
      </c>
      <c r="C29" s="30" t="str">
        <f>Inputs!G14</f>
        <v>Proportion</v>
      </c>
      <c r="D29" s="168" t="s">
        <v>92</v>
      </c>
      <c r="E29" s="30"/>
      <c r="F29" s="41"/>
      <c r="G29" s="31"/>
      <c r="H29" s="31"/>
      <c r="I29" s="31"/>
      <c r="J29" s="30"/>
      <c r="K29" s="32"/>
    </row>
    <row r="30" spans="1:11" ht="15">
      <c r="A30" s="28"/>
      <c r="B30" s="167" t="s">
        <v>93</v>
      </c>
      <c r="C30" s="30" t="str">
        <f>Inputs!G15</f>
        <v>of Forage</v>
      </c>
      <c r="D30" s="169" t="s">
        <v>94</v>
      </c>
      <c r="E30" s="30"/>
      <c r="F30" s="41"/>
      <c r="G30" s="31"/>
      <c r="H30" s="31"/>
      <c r="I30" s="31"/>
      <c r="J30" s="30"/>
      <c r="K30" s="32"/>
    </row>
    <row r="31" spans="1:11" ht="15">
      <c r="A31" s="28"/>
      <c r="B31" s="167" t="s">
        <v>95</v>
      </c>
      <c r="C31" s="30" t="str">
        <f>Inputs!G16</f>
        <v>Dry Matter</v>
      </c>
      <c r="D31" s="169" t="s">
        <v>96</v>
      </c>
      <c r="E31" s="30"/>
      <c r="F31" s="41"/>
      <c r="G31" s="31"/>
      <c r="H31" s="31"/>
      <c r="I31" s="31"/>
      <c r="J31" s="30"/>
      <c r="K31" s="32"/>
    </row>
    <row r="32" spans="1:11" ht="15.75" thickBot="1">
      <c r="A32" s="27" t="s">
        <v>79</v>
      </c>
      <c r="B32" s="167" t="s">
        <v>97</v>
      </c>
      <c r="C32" s="30" t="s">
        <v>98</v>
      </c>
      <c r="D32" s="168" t="s">
        <v>99</v>
      </c>
      <c r="E32" s="30"/>
      <c r="F32" s="41"/>
      <c r="G32" s="31"/>
      <c r="H32" s="31"/>
      <c r="I32" s="31"/>
      <c r="J32" s="30"/>
      <c r="K32" s="32"/>
    </row>
    <row r="33" spans="1:11" ht="15">
      <c r="A33" s="53" t="str">
        <f>A20</f>
        <v>Steel/Glass Tower </v>
      </c>
      <c r="B33" s="159">
        <f>E20/Inputs!B14</f>
        <v>7.95</v>
      </c>
      <c r="C33" s="160">
        <f>Inputs!G19</f>
        <v>6</v>
      </c>
      <c r="D33" s="161">
        <f>B33/(1-C33/100)</f>
        <v>8.457446808510639</v>
      </c>
      <c r="E33" s="30"/>
      <c r="F33" s="41"/>
      <c r="G33" s="31"/>
      <c r="H33" s="31"/>
      <c r="I33" s="31"/>
      <c r="J33" s="30"/>
      <c r="K33" s="32"/>
    </row>
    <row r="34" spans="1:11" ht="15">
      <c r="A34" s="51" t="str">
        <f aca="true" t="shared" si="2" ref="A34:A40">A21</f>
        <v>Cast in Place Tower </v>
      </c>
      <c r="B34" s="162">
        <f>E21/Inputs!B14</f>
        <v>13.9</v>
      </c>
      <c r="C34" s="160">
        <f>Inputs!G20</f>
        <v>13</v>
      </c>
      <c r="D34" s="163">
        <f aca="true" t="shared" si="3" ref="D34:D40">B34/(1-C34/100)</f>
        <v>15.977011494252874</v>
      </c>
      <c r="E34" s="30"/>
      <c r="F34" s="41"/>
      <c r="G34" s="31"/>
      <c r="H34" s="31"/>
      <c r="I34" s="31"/>
      <c r="J34" s="30"/>
      <c r="K34" s="32"/>
    </row>
    <row r="35" spans="1:11" ht="15">
      <c r="A35" s="51" t="str">
        <f t="shared" si="2"/>
        <v>Stave Tower </v>
      </c>
      <c r="B35" s="162">
        <f>E22/Inputs!B14</f>
        <v>13.9</v>
      </c>
      <c r="C35" s="160">
        <f>Inputs!G21</f>
        <v>13</v>
      </c>
      <c r="D35" s="163">
        <f t="shared" si="3"/>
        <v>15.977011494252874</v>
      </c>
      <c r="E35" s="30"/>
      <c r="F35" s="41"/>
      <c r="G35" s="31"/>
      <c r="H35" s="31"/>
      <c r="I35" s="31"/>
      <c r="J35" s="30"/>
      <c r="K35" s="32"/>
    </row>
    <row r="36" spans="1:11" ht="15">
      <c r="A36" s="51" t="str">
        <f t="shared" si="2"/>
        <v>Above Ground Bunker </v>
      </c>
      <c r="B36" s="162">
        <f>E23/Inputs!B14</f>
        <v>33.69294435465769</v>
      </c>
      <c r="C36" s="160">
        <f>Inputs!G22</f>
        <v>16</v>
      </c>
      <c r="D36" s="163">
        <f t="shared" si="3"/>
        <v>40.110648041259154</v>
      </c>
      <c r="E36" s="30"/>
      <c r="F36" s="41"/>
      <c r="G36" s="31"/>
      <c r="H36" s="31"/>
      <c r="I36" s="31"/>
      <c r="J36" s="30"/>
      <c r="K36" s="32"/>
    </row>
    <row r="37" spans="1:11" ht="15">
      <c r="A37" s="51" t="str">
        <f t="shared" si="2"/>
        <v>Packed Pile </v>
      </c>
      <c r="B37" s="162">
        <f>E24/Inputs!B14</f>
        <v>26.093516244957083</v>
      </c>
      <c r="C37" s="160">
        <f>Inputs!G23</f>
        <v>17.5</v>
      </c>
      <c r="D37" s="163">
        <f t="shared" si="3"/>
        <v>31.62850453934192</v>
      </c>
      <c r="E37" s="30"/>
      <c r="F37" s="41"/>
      <c r="G37" s="31"/>
      <c r="H37" s="31"/>
      <c r="I37" s="31"/>
      <c r="J37" s="30"/>
      <c r="K37" s="32"/>
    </row>
    <row r="38" spans="1:11" ht="15">
      <c r="A38" s="51" t="str">
        <f t="shared" si="2"/>
        <v>Bagger </v>
      </c>
      <c r="B38" s="162">
        <f>E25/Inputs!B14</f>
        <v>15.634472427983537</v>
      </c>
      <c r="C38" s="160">
        <f>Inputs!G24</f>
        <v>11</v>
      </c>
      <c r="D38" s="163">
        <f t="shared" si="3"/>
        <v>17.566822952790492</v>
      </c>
      <c r="E38" s="30"/>
      <c r="F38" s="41"/>
      <c r="G38" s="31"/>
      <c r="H38" s="31"/>
      <c r="I38" s="31"/>
      <c r="J38" s="30"/>
      <c r="K38" s="32"/>
    </row>
    <row r="39" spans="1:11" ht="15">
      <c r="A39" s="51" t="str">
        <f t="shared" si="2"/>
        <v>Silage Bale Wrap</v>
      </c>
      <c r="B39" s="162">
        <f>E26/Inputs!B14</f>
        <v>45.72666666666666</v>
      </c>
      <c r="C39" s="160">
        <f>Inputs!G25</f>
        <v>14</v>
      </c>
      <c r="D39" s="163">
        <f t="shared" si="3"/>
        <v>53.170542635658904</v>
      </c>
      <c r="E39" s="30"/>
      <c r="F39" s="41"/>
      <c r="G39" s="31"/>
      <c r="H39" s="31"/>
      <c r="I39" s="31"/>
      <c r="J39" s="30"/>
      <c r="K39" s="32"/>
    </row>
    <row r="40" spans="1:11" ht="15.75" thickBot="1">
      <c r="A40" s="52" t="str">
        <f t="shared" si="2"/>
        <v>Dry Baled Hay </v>
      </c>
      <c r="B40" s="164">
        <f>E27/Inputs!B14</f>
        <v>19.399886734824907</v>
      </c>
      <c r="C40" s="160">
        <f>Inputs!G26</f>
        <v>7</v>
      </c>
      <c r="D40" s="165">
        <f t="shared" si="3"/>
        <v>20.86009326325259</v>
      </c>
      <c r="E40" s="31"/>
      <c r="F40" s="31"/>
      <c r="G40" s="31"/>
      <c r="H40" s="31"/>
      <c r="I40" s="31"/>
      <c r="J40" s="30"/>
      <c r="K40" s="32"/>
    </row>
    <row r="41" spans="1:11" ht="15">
      <c r="A41" s="11" t="s">
        <v>100</v>
      </c>
      <c r="B41" t="s">
        <v>101</v>
      </c>
      <c r="H41" s="2"/>
      <c r="I41" s="3"/>
      <c r="K41" s="3"/>
    </row>
    <row r="42" spans="1:11" ht="15.75" thickBot="1">
      <c r="A42" s="27"/>
      <c r="B42" s="43"/>
      <c r="C42" s="43"/>
      <c r="D42" s="189"/>
      <c r="E42" s="43"/>
      <c r="H42" s="2"/>
      <c r="I42" s="3"/>
      <c r="K42" s="3"/>
    </row>
    <row r="43" spans="1:6" ht="15.75" thickBot="1">
      <c r="A43" s="252"/>
      <c r="B43" s="256" t="s">
        <v>426</v>
      </c>
      <c r="C43" s="257"/>
      <c r="D43" s="258"/>
      <c r="E43" s="272">
        <f>Inputs!B14</f>
        <v>400</v>
      </c>
      <c r="F43" s="255" t="s">
        <v>115</v>
      </c>
    </row>
    <row r="44" spans="1:6" ht="15">
      <c r="A44" s="243" t="s">
        <v>427</v>
      </c>
      <c r="B44" s="236">
        <f>Inputs!C57</f>
        <v>0</v>
      </c>
      <c r="C44" s="18"/>
      <c r="D44" s="244" t="s">
        <v>468</v>
      </c>
      <c r="E44" s="18"/>
      <c r="F44" s="294">
        <f>Help!E135</f>
        <v>7</v>
      </c>
    </row>
    <row r="45" spans="1:6" ht="15">
      <c r="A45" s="243" t="s">
        <v>408</v>
      </c>
      <c r="B45" s="236">
        <f>Inputs!C55</f>
        <v>0</v>
      </c>
      <c r="C45" s="18"/>
      <c r="D45" s="244" t="s">
        <v>419</v>
      </c>
      <c r="E45" s="18"/>
      <c r="F45" s="237">
        <f>Help!E119</f>
        <v>9</v>
      </c>
    </row>
    <row r="46" spans="1:6" ht="15">
      <c r="A46" s="243" t="s">
        <v>407</v>
      </c>
      <c r="B46" s="236">
        <f>Inputs!C56</f>
        <v>0</v>
      </c>
      <c r="C46" s="18"/>
      <c r="D46" s="244" t="s">
        <v>418</v>
      </c>
      <c r="E46" s="18"/>
      <c r="F46" s="237">
        <f>Help!E118</f>
        <v>134</v>
      </c>
    </row>
    <row r="47" spans="1:6" ht="15">
      <c r="A47" s="243" t="s">
        <v>428</v>
      </c>
      <c r="B47" s="236">
        <f>Help!E160</f>
        <v>2</v>
      </c>
      <c r="C47" s="18"/>
      <c r="D47" s="245"/>
      <c r="E47" s="18"/>
      <c r="F47" s="237"/>
    </row>
    <row r="48" spans="1:6" ht="15">
      <c r="A48" s="243" t="s">
        <v>409</v>
      </c>
      <c r="B48" s="236">
        <f>Help!E161</f>
        <v>10</v>
      </c>
      <c r="C48" s="18"/>
      <c r="D48" s="244" t="s">
        <v>430</v>
      </c>
      <c r="E48" s="18"/>
      <c r="F48" s="238">
        <f>Help!E90</f>
        <v>2560</v>
      </c>
    </row>
    <row r="49" spans="1:6" ht="15">
      <c r="A49" s="243" t="s">
        <v>410</v>
      </c>
      <c r="B49" s="137">
        <f>Help!E165</f>
        <v>32</v>
      </c>
      <c r="C49" s="18"/>
      <c r="D49" s="244" t="s">
        <v>420</v>
      </c>
      <c r="E49" s="18"/>
      <c r="F49" s="237">
        <f>Help!E80</f>
        <v>5</v>
      </c>
    </row>
    <row r="50" spans="1:6" ht="15">
      <c r="A50" s="243" t="s">
        <v>412</v>
      </c>
      <c r="B50" s="236">
        <f>Help!E185</f>
        <v>106</v>
      </c>
      <c r="C50" s="18"/>
      <c r="D50" s="244" t="s">
        <v>421</v>
      </c>
      <c r="E50" s="18"/>
      <c r="F50" s="237">
        <f>Help!E81</f>
        <v>0</v>
      </c>
    </row>
    <row r="51" spans="1:6" ht="15">
      <c r="A51" s="243" t="s">
        <v>411</v>
      </c>
      <c r="B51" s="236">
        <f>Help!E9</f>
        <v>2</v>
      </c>
      <c r="C51" s="18"/>
      <c r="D51" s="244" t="s">
        <v>422</v>
      </c>
      <c r="E51" s="18"/>
      <c r="F51" s="237">
        <f>Help!E82</f>
        <v>2.5</v>
      </c>
    </row>
    <row r="52" spans="1:6" ht="15">
      <c r="A52" s="243" t="s">
        <v>414</v>
      </c>
      <c r="B52" s="236">
        <f>Help!E5</f>
        <v>9</v>
      </c>
      <c r="C52" s="18"/>
      <c r="D52" s="244" t="s">
        <v>429</v>
      </c>
      <c r="E52" s="18"/>
      <c r="F52" s="238">
        <f>Help!E61</f>
        <v>626.8256327159572</v>
      </c>
    </row>
    <row r="53" spans="1:6" ht="15">
      <c r="A53" s="243" t="s">
        <v>415</v>
      </c>
      <c r="B53" s="236">
        <f>Help!E6</f>
        <v>1</v>
      </c>
      <c r="C53" s="18"/>
      <c r="D53" s="244" t="s">
        <v>423</v>
      </c>
      <c r="E53" s="18"/>
      <c r="F53" s="237">
        <f>Help!E47</f>
        <v>5</v>
      </c>
    </row>
    <row r="54" spans="1:6" ht="15">
      <c r="A54" s="243" t="s">
        <v>416</v>
      </c>
      <c r="B54" s="236">
        <f>Help!E27</f>
        <v>55</v>
      </c>
      <c r="C54" s="18"/>
      <c r="D54" s="244" t="s">
        <v>424</v>
      </c>
      <c r="E54" s="18"/>
      <c r="F54" s="237">
        <f>Help!E48</f>
        <v>5</v>
      </c>
    </row>
    <row r="55" spans="1:6" ht="15.75" thickBot="1">
      <c r="A55" s="246" t="s">
        <v>417</v>
      </c>
      <c r="B55" s="240">
        <f>Help!E4</f>
        <v>135</v>
      </c>
      <c r="C55" s="241"/>
      <c r="D55" s="247" t="s">
        <v>425</v>
      </c>
      <c r="E55" s="241"/>
      <c r="F55" s="242">
        <f>Help!E49</f>
        <v>0</v>
      </c>
    </row>
    <row r="60" ht="15">
      <c r="A60" t="s">
        <v>465</v>
      </c>
    </row>
  </sheetData>
  <sheetProtection sheet="1" objects="1" scenarios="1"/>
  <printOptions/>
  <pageMargins left="0.54" right="0.31" top="0.55" bottom="0.39" header="0.5" footer="0.21"/>
  <pageSetup fitToHeight="1" fitToWidth="1" horizontalDpi="600" verticalDpi="600" orientation="portrait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11"/>
  <sheetViews>
    <sheetView zoomScale="75" zoomScaleNormal="75" zoomScalePageLayoutView="0" workbookViewId="0" topLeftCell="A37">
      <selection activeCell="E67" sqref="E67"/>
    </sheetView>
  </sheetViews>
  <sheetFormatPr defaultColWidth="8.88671875" defaultRowHeight="15.75"/>
  <cols>
    <col min="1" max="1" width="25.6640625" style="0" customWidth="1"/>
    <col min="5" max="5" width="9.88671875" style="0" bestFit="1" customWidth="1"/>
  </cols>
  <sheetData>
    <row r="1" spans="1:10" ht="17.25">
      <c r="A1" s="55" t="s">
        <v>102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8" t="s">
        <v>12</v>
      </c>
      <c r="B2" s="8" t="s">
        <v>12</v>
      </c>
      <c r="C2" s="8" t="s">
        <v>12</v>
      </c>
      <c r="D2" s="8" t="s">
        <v>12</v>
      </c>
      <c r="E2" s="8" t="s">
        <v>12</v>
      </c>
      <c r="F2" s="2"/>
      <c r="G2" s="2"/>
      <c r="H2" s="2"/>
      <c r="I2" s="2"/>
      <c r="J2" s="2"/>
    </row>
    <row r="3" spans="1:10" ht="15">
      <c r="A3" s="2" t="s">
        <v>103</v>
      </c>
      <c r="B3" s="2"/>
      <c r="C3" s="2"/>
      <c r="D3" s="2"/>
      <c r="E3" s="130">
        <v>12</v>
      </c>
      <c r="F3" s="2"/>
      <c r="G3" s="2"/>
      <c r="H3" s="2"/>
      <c r="I3" s="2"/>
      <c r="J3" s="2"/>
    </row>
    <row r="4" spans="1:10" ht="15">
      <c r="A4" s="2" t="s">
        <v>471</v>
      </c>
      <c r="B4" s="2"/>
      <c r="C4" s="2"/>
      <c r="D4" s="2"/>
      <c r="E4" s="130">
        <v>135</v>
      </c>
      <c r="F4" s="2"/>
      <c r="G4" s="2"/>
      <c r="H4" s="2"/>
      <c r="I4" s="2"/>
      <c r="J4" s="2"/>
    </row>
    <row r="5" spans="1:10" ht="15">
      <c r="A5" s="2" t="s">
        <v>104</v>
      </c>
      <c r="B5" s="2"/>
      <c r="C5" s="2"/>
      <c r="D5" s="2"/>
      <c r="E5" s="130">
        <v>9</v>
      </c>
      <c r="F5" s="2"/>
      <c r="G5" s="18"/>
      <c r="H5" s="18"/>
      <c r="I5" s="18"/>
      <c r="J5" s="18"/>
    </row>
    <row r="6" spans="1:10" ht="15">
      <c r="A6" s="2" t="s">
        <v>105</v>
      </c>
      <c r="B6" s="2"/>
      <c r="C6" s="2"/>
      <c r="D6" s="2"/>
      <c r="E6" s="130">
        <v>1</v>
      </c>
      <c r="F6" s="18"/>
      <c r="G6" s="18"/>
      <c r="H6" s="18"/>
      <c r="I6" s="18"/>
      <c r="J6" s="18"/>
    </row>
    <row r="7" spans="1:10" ht="15">
      <c r="A7" s="2" t="s">
        <v>106</v>
      </c>
      <c r="B7" s="2"/>
      <c r="C7" s="2"/>
      <c r="D7" s="2"/>
      <c r="E7" s="130">
        <v>3</v>
      </c>
      <c r="F7" s="18"/>
      <c r="G7" s="18"/>
      <c r="H7" s="18"/>
      <c r="I7" s="18"/>
      <c r="J7" s="18"/>
    </row>
    <row r="8" spans="1:10" ht="15">
      <c r="A8" s="2" t="s">
        <v>107</v>
      </c>
      <c r="B8" s="2"/>
      <c r="C8" s="2"/>
      <c r="D8" s="2"/>
      <c r="E8" s="130">
        <v>6</v>
      </c>
      <c r="F8" s="18"/>
      <c r="G8" s="18"/>
      <c r="H8" s="18"/>
      <c r="I8" s="18"/>
      <c r="J8" s="18"/>
    </row>
    <row r="9" spans="1:10" ht="15">
      <c r="A9" s="2" t="s">
        <v>108</v>
      </c>
      <c r="B9" s="2"/>
      <c r="C9" s="2"/>
      <c r="D9" s="2"/>
      <c r="E9" s="130">
        <v>2</v>
      </c>
      <c r="F9" s="18"/>
      <c r="G9" s="18"/>
      <c r="H9" s="18"/>
      <c r="I9" s="18"/>
      <c r="J9" s="18"/>
    </row>
    <row r="10" spans="1:10" ht="15">
      <c r="A10" s="2" t="s">
        <v>109</v>
      </c>
      <c r="B10" s="2"/>
      <c r="C10" s="2"/>
      <c r="D10" s="2"/>
      <c r="E10" s="130">
        <v>15</v>
      </c>
      <c r="F10" s="18"/>
      <c r="G10" s="18"/>
      <c r="H10" s="18"/>
      <c r="I10" s="18"/>
      <c r="J10" s="18"/>
    </row>
    <row r="11" spans="1:10" ht="15">
      <c r="A11" s="2" t="s">
        <v>110</v>
      </c>
      <c r="B11" s="2"/>
      <c r="C11" s="2"/>
      <c r="D11" s="2"/>
      <c r="E11" s="130">
        <v>0.5</v>
      </c>
      <c r="F11" s="18"/>
      <c r="G11" s="18"/>
      <c r="H11" s="18"/>
      <c r="I11" s="18"/>
      <c r="J11" s="18"/>
    </row>
    <row r="12" spans="1:10" ht="15">
      <c r="A12" s="198" t="s">
        <v>455</v>
      </c>
      <c r="B12" s="2"/>
      <c r="C12" s="2"/>
      <c r="D12" s="2"/>
      <c r="E12" s="130">
        <v>25</v>
      </c>
      <c r="F12" s="18"/>
      <c r="G12" s="18"/>
      <c r="H12" s="18"/>
      <c r="I12" s="18"/>
      <c r="J12" s="18"/>
    </row>
    <row r="13" spans="1:10" ht="15">
      <c r="A13" s="2" t="s">
        <v>358</v>
      </c>
      <c r="B13" s="2"/>
      <c r="C13" s="2"/>
      <c r="D13" s="2"/>
      <c r="E13" s="341">
        <v>70</v>
      </c>
      <c r="F13" s="18"/>
      <c r="G13" s="18"/>
      <c r="H13" s="18"/>
      <c r="I13" s="18"/>
      <c r="J13" s="18"/>
    </row>
    <row r="14" spans="1:10" ht="15">
      <c r="A14" s="2" t="s">
        <v>359</v>
      </c>
      <c r="B14" s="2"/>
      <c r="C14" s="2"/>
      <c r="D14" s="2"/>
      <c r="E14" s="341">
        <v>8</v>
      </c>
      <c r="F14" s="18"/>
      <c r="G14" s="18"/>
      <c r="H14" s="18"/>
      <c r="I14" s="18"/>
      <c r="J14" s="18"/>
    </row>
    <row r="15" spans="1:10" ht="15">
      <c r="A15" s="2" t="s">
        <v>378</v>
      </c>
      <c r="B15" s="2"/>
      <c r="C15" s="2"/>
      <c r="D15" s="2"/>
      <c r="E15" s="342">
        <v>1.5</v>
      </c>
      <c r="F15" s="18"/>
      <c r="G15" s="18"/>
      <c r="H15" s="18"/>
      <c r="I15" s="18"/>
      <c r="J15" s="18"/>
    </row>
    <row r="16" spans="1:10" ht="15">
      <c r="A16" s="2" t="s">
        <v>377</v>
      </c>
      <c r="B16" s="2"/>
      <c r="C16" s="2"/>
      <c r="D16" s="2"/>
      <c r="E16" s="342">
        <v>5</v>
      </c>
      <c r="F16" s="2"/>
      <c r="G16" s="2"/>
      <c r="H16" s="2"/>
      <c r="I16" s="2"/>
      <c r="J16" s="2"/>
    </row>
    <row r="17" spans="1:10" ht="15">
      <c r="A17" s="2" t="s">
        <v>111</v>
      </c>
      <c r="B17" s="2"/>
      <c r="C17" s="2"/>
      <c r="D17" s="2"/>
      <c r="E17" s="133">
        <v>0.025</v>
      </c>
      <c r="F17" s="2"/>
      <c r="G17" s="2"/>
      <c r="H17" s="2"/>
      <c r="I17" s="2"/>
      <c r="J17" s="2"/>
    </row>
    <row r="18" spans="1:10" ht="15">
      <c r="A18" s="2" t="s">
        <v>398</v>
      </c>
      <c r="B18" s="2"/>
      <c r="C18" s="2"/>
      <c r="D18" s="2"/>
      <c r="E18" s="343">
        <v>0</v>
      </c>
      <c r="F18" s="2"/>
      <c r="G18" s="2"/>
      <c r="H18" s="2"/>
      <c r="I18" s="2"/>
      <c r="J18" s="2"/>
    </row>
    <row r="19" spans="1:10" ht="15">
      <c r="A19" s="2" t="s">
        <v>403</v>
      </c>
      <c r="B19" s="2"/>
      <c r="C19" s="2"/>
      <c r="D19" s="2"/>
      <c r="E19" s="130">
        <v>0.0025</v>
      </c>
      <c r="F19" s="2"/>
      <c r="G19" s="2"/>
      <c r="H19" s="2"/>
      <c r="I19" s="2"/>
      <c r="J19" s="2"/>
    </row>
    <row r="20" spans="1:10" ht="15">
      <c r="A20" s="2" t="s">
        <v>390</v>
      </c>
      <c r="B20" s="2"/>
      <c r="C20" s="2"/>
      <c r="D20" s="2"/>
      <c r="E20" s="130">
        <v>20</v>
      </c>
      <c r="F20" s="2"/>
      <c r="G20" s="2"/>
      <c r="H20" s="2"/>
      <c r="I20" s="2"/>
      <c r="J20" s="2"/>
    </row>
    <row r="21" spans="1:10" ht="15">
      <c r="A21" s="2" t="s">
        <v>391</v>
      </c>
      <c r="B21" s="2"/>
      <c r="C21" s="2"/>
      <c r="D21" s="2"/>
      <c r="E21" s="344" t="s">
        <v>393</v>
      </c>
      <c r="F21" s="310">
        <f>IF(OR(E21="yes",E21="y"),1,0)</f>
        <v>0</v>
      </c>
      <c r="G21" s="2"/>
      <c r="H21" s="2"/>
      <c r="I21" s="2"/>
      <c r="J21" s="2"/>
    </row>
    <row r="22" spans="1:10" ht="15">
      <c r="A22" s="2" t="s">
        <v>360</v>
      </c>
      <c r="B22" s="2"/>
      <c r="C22" s="2"/>
      <c r="D22" s="2"/>
      <c r="E22" s="125">
        <f>E14*88</f>
        <v>704</v>
      </c>
      <c r="F22" s="2"/>
      <c r="G22" s="2"/>
      <c r="H22" s="2"/>
      <c r="I22" s="2"/>
      <c r="J22" s="2"/>
    </row>
    <row r="23" spans="1:10" ht="15">
      <c r="A23" s="2" t="s">
        <v>361</v>
      </c>
      <c r="B23" s="2"/>
      <c r="C23" s="2"/>
      <c r="D23" s="2"/>
      <c r="E23" s="125">
        <f>IF(E13&gt;25,E13-25,0)</f>
        <v>45</v>
      </c>
      <c r="F23" s="2"/>
      <c r="G23" s="2"/>
      <c r="H23" s="2"/>
      <c r="I23" s="2"/>
      <c r="J23" s="2"/>
    </row>
    <row r="24" spans="1:10" ht="15">
      <c r="A24" s="2" t="s">
        <v>362</v>
      </c>
      <c r="B24" s="2"/>
      <c r="C24" s="2"/>
      <c r="D24" s="2"/>
      <c r="E24" s="311">
        <f>2*E23/E22</f>
        <v>0.1278409090909091</v>
      </c>
      <c r="F24" s="2"/>
      <c r="G24" s="2"/>
      <c r="H24" s="2"/>
      <c r="I24" s="2"/>
      <c r="J24" s="2"/>
    </row>
    <row r="25" spans="1:10" ht="15">
      <c r="A25" s="2" t="s">
        <v>363</v>
      </c>
      <c r="B25" s="2"/>
      <c r="C25" s="2"/>
      <c r="D25" s="2"/>
      <c r="E25" s="312">
        <f>60/(2*0.8+E24)</f>
        <v>34.725419269976975</v>
      </c>
      <c r="F25" s="2"/>
      <c r="G25" s="2"/>
      <c r="H25" s="310"/>
      <c r="I25" s="2"/>
      <c r="J25" s="2"/>
    </row>
    <row r="26" spans="1:10" ht="15">
      <c r="A26" s="2" t="s">
        <v>364</v>
      </c>
      <c r="B26" s="2"/>
      <c r="C26" s="2"/>
      <c r="D26" s="2"/>
      <c r="E26" s="312">
        <f>E25*E15*27*E16/2000</f>
        <v>3.515948701085168</v>
      </c>
      <c r="F26" s="18"/>
      <c r="G26" s="18"/>
      <c r="H26" s="18"/>
      <c r="I26" s="18"/>
      <c r="J26" s="18"/>
    </row>
    <row r="27" spans="1:10" ht="15">
      <c r="A27" s="2" t="s">
        <v>112</v>
      </c>
      <c r="B27" s="2"/>
      <c r="C27" s="2"/>
      <c r="D27" s="2"/>
      <c r="E27" s="276">
        <f>E6+(E7*2*E5)</f>
        <v>55</v>
      </c>
      <c r="F27" s="18"/>
      <c r="G27" s="18"/>
      <c r="H27" s="18"/>
      <c r="I27" s="18"/>
      <c r="J27" s="18"/>
    </row>
    <row r="28" spans="1:10" ht="15">
      <c r="A28" s="2" t="s">
        <v>113</v>
      </c>
      <c r="B28" s="2"/>
      <c r="C28" s="2"/>
      <c r="D28" s="2"/>
      <c r="E28" s="114">
        <f>(+E6+2*SQRT(+(E5^2)+(E7*E5)^2))*E4</f>
        <v>7819.334714209162</v>
      </c>
      <c r="F28" s="18"/>
      <c r="G28" s="18"/>
      <c r="H28" s="18"/>
      <c r="I28" s="18"/>
      <c r="J28" s="18"/>
    </row>
    <row r="29" spans="1:10" ht="15">
      <c r="A29" s="2" t="s">
        <v>114</v>
      </c>
      <c r="B29" s="2"/>
      <c r="C29" s="2"/>
      <c r="D29" s="2"/>
      <c r="E29" s="276">
        <f>E5*(E7*E5+E6)*E4</f>
        <v>34020</v>
      </c>
      <c r="F29" s="18"/>
      <c r="G29" s="18"/>
      <c r="H29" s="18"/>
      <c r="I29" s="18"/>
      <c r="J29" s="18"/>
    </row>
    <row r="30" spans="1:10" ht="15">
      <c r="A30" s="2" t="s">
        <v>472</v>
      </c>
      <c r="B30" s="2"/>
      <c r="C30" s="2"/>
      <c r="D30" s="2"/>
      <c r="E30" s="276">
        <f>E3*E29*E9</f>
        <v>816480</v>
      </c>
      <c r="F30" s="313">
        <f>E30/2000</f>
        <v>408.24</v>
      </c>
      <c r="G30" s="276" t="s">
        <v>115</v>
      </c>
      <c r="H30" s="215" t="s">
        <v>350</v>
      </c>
      <c r="I30" s="18"/>
      <c r="J30" s="276">
        <f>Inputs!B14</f>
        <v>400</v>
      </c>
    </row>
    <row r="31" spans="1:10" ht="15">
      <c r="A31" s="2" t="s">
        <v>116</v>
      </c>
      <c r="B31" s="2"/>
      <c r="C31" s="2"/>
      <c r="D31" s="2"/>
      <c r="E31" s="276">
        <f>E4+2*E10</f>
        <v>165</v>
      </c>
      <c r="F31" s="2"/>
      <c r="G31" s="2"/>
      <c r="H31" s="2"/>
      <c r="I31" s="314" t="s">
        <v>497</v>
      </c>
      <c r="J31" s="18"/>
    </row>
    <row r="32" spans="1:10" ht="15">
      <c r="A32" s="2" t="s">
        <v>117</v>
      </c>
      <c r="B32" s="2"/>
      <c r="C32" s="2"/>
      <c r="D32" s="2"/>
      <c r="E32" s="276">
        <f>E9*(E27+E8)</f>
        <v>122</v>
      </c>
      <c r="F32" s="2"/>
      <c r="G32" s="2"/>
      <c r="H32" s="2"/>
      <c r="I32" s="18"/>
      <c r="J32" s="18"/>
    </row>
    <row r="33" spans="1:10" ht="15">
      <c r="A33" s="2" t="s">
        <v>118</v>
      </c>
      <c r="B33" s="2"/>
      <c r="C33" s="2"/>
      <c r="D33" s="2"/>
      <c r="E33" s="276">
        <f>E31*E32</f>
        <v>20130</v>
      </c>
      <c r="F33" s="2"/>
      <c r="G33" s="126"/>
      <c r="H33" s="2"/>
      <c r="I33" s="18"/>
      <c r="J33" s="18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 t="s">
        <v>399</v>
      </c>
      <c r="B35" s="2"/>
      <c r="C35" s="2"/>
      <c r="D35" s="2"/>
      <c r="E35" s="126">
        <f>E33*E11+E18</f>
        <v>10065</v>
      </c>
      <c r="F35" s="2" t="s">
        <v>119</v>
      </c>
      <c r="G35" s="2" t="s">
        <v>474</v>
      </c>
      <c r="H35" s="2"/>
      <c r="I35" s="18"/>
      <c r="J35" s="18"/>
    </row>
    <row r="36" spans="1:10" ht="15">
      <c r="A36" s="2" t="s">
        <v>396</v>
      </c>
      <c r="B36" s="2"/>
      <c r="C36" s="2"/>
      <c r="D36" s="2"/>
      <c r="E36" s="137">
        <f>E28*E17*E9</f>
        <v>390.9667357104581</v>
      </c>
      <c r="F36" s="2" t="s">
        <v>119</v>
      </c>
      <c r="G36" s="2" t="s">
        <v>475</v>
      </c>
      <c r="H36" s="2"/>
      <c r="I36" s="18"/>
      <c r="J36" s="18"/>
    </row>
    <row r="37" spans="1:10" ht="15">
      <c r="A37" s="198" t="s">
        <v>330</v>
      </c>
      <c r="B37" s="2"/>
      <c r="C37" s="2"/>
      <c r="D37" s="2"/>
      <c r="E37" s="236">
        <f>Inputs!B14/E12</f>
        <v>16</v>
      </c>
      <c r="F37" s="2" t="s">
        <v>119</v>
      </c>
      <c r="G37" s="2" t="s">
        <v>476</v>
      </c>
      <c r="H37" s="2"/>
      <c r="I37" s="18"/>
      <c r="J37" s="18"/>
    </row>
    <row r="38" spans="1:10" ht="15">
      <c r="A38" s="2" t="s">
        <v>331</v>
      </c>
      <c r="B38" s="2"/>
      <c r="C38" s="2"/>
      <c r="D38" s="2"/>
      <c r="E38" s="136">
        <f>E9*E19*E28+(IF(F21=0,1,0)*E20*Inputs!B16/60)</f>
        <v>159.0966735710458</v>
      </c>
      <c r="F38" s="2" t="s">
        <v>119</v>
      </c>
      <c r="G38" s="2" t="s">
        <v>477</v>
      </c>
      <c r="H38" s="2"/>
      <c r="I38" s="18"/>
      <c r="J38" s="18"/>
    </row>
    <row r="39" spans="1:10" ht="15">
      <c r="A39" s="198" t="s">
        <v>329</v>
      </c>
      <c r="B39" s="2"/>
      <c r="C39" s="2"/>
      <c r="D39" s="2"/>
      <c r="E39" s="137">
        <f>Inputs!B14/E26+(+F21*E20*Inputs!B16/60)</f>
        <v>113.76730265619159</v>
      </c>
      <c r="F39" s="2" t="s">
        <v>119</v>
      </c>
      <c r="G39" s="2" t="s">
        <v>328</v>
      </c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1" ht="18">
      <c r="A41" s="315" t="s">
        <v>289</v>
      </c>
      <c r="B41" s="2"/>
      <c r="C41" s="2"/>
      <c r="D41" s="2"/>
      <c r="E41" s="2"/>
      <c r="F41" s="2"/>
      <c r="G41" s="2"/>
      <c r="H41" s="2"/>
      <c r="I41" s="2"/>
      <c r="J41" s="2"/>
      <c r="K41" s="119"/>
    </row>
    <row r="42" spans="1:11" ht="15">
      <c r="A42" s="2" t="s">
        <v>290</v>
      </c>
      <c r="B42" s="2"/>
      <c r="C42" s="2"/>
      <c r="D42" s="2"/>
      <c r="E42" s="2"/>
      <c r="F42" s="2"/>
      <c r="G42" s="2"/>
      <c r="H42" s="2"/>
      <c r="I42" s="2"/>
      <c r="J42" s="2"/>
      <c r="K42" s="119"/>
    </row>
    <row r="43" spans="1:11" ht="15">
      <c r="A43" s="2" t="s">
        <v>291</v>
      </c>
      <c r="B43" s="2"/>
      <c r="C43" s="2"/>
      <c r="D43" s="2"/>
      <c r="E43" s="2"/>
      <c r="F43" s="2"/>
      <c r="G43" s="2"/>
      <c r="H43" s="2"/>
      <c r="I43" s="2"/>
      <c r="J43" s="2"/>
      <c r="K43" s="119"/>
    </row>
    <row r="44" spans="1:11" ht="15">
      <c r="A44" s="2" t="s">
        <v>292</v>
      </c>
      <c r="B44" s="2"/>
      <c r="C44" s="2"/>
      <c r="D44" s="2"/>
      <c r="E44" s="2"/>
      <c r="F44" s="2"/>
      <c r="G44" s="2"/>
      <c r="H44" s="2"/>
      <c r="I44" s="2"/>
      <c r="J44" s="2"/>
      <c r="K44" s="119"/>
    </row>
    <row r="45" spans="1:11" ht="15">
      <c r="A45" s="25" t="s">
        <v>316</v>
      </c>
      <c r="B45" s="25" t="s">
        <v>317</v>
      </c>
      <c r="C45" s="25" t="s">
        <v>318</v>
      </c>
      <c r="D45" s="25" t="s">
        <v>318</v>
      </c>
      <c r="E45" s="25" t="s">
        <v>318</v>
      </c>
      <c r="F45" s="25"/>
      <c r="G45" s="180" t="s">
        <v>389</v>
      </c>
      <c r="H45" s="2"/>
      <c r="I45" s="2"/>
      <c r="J45" s="2"/>
      <c r="K45" s="119"/>
    </row>
    <row r="46" spans="1:11" ht="15">
      <c r="A46" s="2" t="s">
        <v>413</v>
      </c>
      <c r="B46" s="2"/>
      <c r="C46" s="2"/>
      <c r="D46" s="2"/>
      <c r="E46" s="134">
        <v>13</v>
      </c>
      <c r="F46" s="2" t="s">
        <v>119</v>
      </c>
      <c r="G46" s="180" t="s">
        <v>388</v>
      </c>
      <c r="H46" s="2"/>
      <c r="I46" s="2"/>
      <c r="J46" s="2"/>
      <c r="K46" s="119"/>
    </row>
    <row r="47" spans="1:11" ht="15">
      <c r="A47" s="2" t="s">
        <v>293</v>
      </c>
      <c r="B47" s="2"/>
      <c r="C47" s="2"/>
      <c r="D47" s="2"/>
      <c r="E47" s="134">
        <v>5</v>
      </c>
      <c r="F47" s="2"/>
      <c r="G47" s="180" t="s">
        <v>387</v>
      </c>
      <c r="H47" s="2"/>
      <c r="I47" s="2"/>
      <c r="J47" s="2"/>
      <c r="K47" s="119"/>
    </row>
    <row r="48" spans="1:11" ht="15">
      <c r="A48" s="2" t="s">
        <v>294</v>
      </c>
      <c r="B48" s="2"/>
      <c r="C48" s="2"/>
      <c r="D48" s="2"/>
      <c r="E48" s="134">
        <v>5</v>
      </c>
      <c r="F48" s="2"/>
      <c r="G48" s="21" t="str">
        <f>IF(AND(E48&gt;0,E49&gt;0),"ERROR in cell E48 or E49"," ")</f>
        <v> </v>
      </c>
      <c r="H48" s="2"/>
      <c r="I48" s="2"/>
      <c r="J48" s="2"/>
      <c r="K48" s="119"/>
    </row>
    <row r="49" spans="1:11" ht="15">
      <c r="A49" s="2" t="s">
        <v>295</v>
      </c>
      <c r="B49" s="2"/>
      <c r="C49" s="2"/>
      <c r="D49" s="2"/>
      <c r="E49" s="345">
        <v>0</v>
      </c>
      <c r="F49" s="2"/>
      <c r="G49" s="21" t="str">
        <f>IF(AND(E48=0,E49=0),"ERROR in cell E48 or E49"," ")</f>
        <v> </v>
      </c>
      <c r="H49" s="2"/>
      <c r="I49" s="2"/>
      <c r="J49" s="2"/>
      <c r="K49" s="119"/>
    </row>
    <row r="50" spans="1:11" ht="15">
      <c r="A50" s="2" t="s">
        <v>296</v>
      </c>
      <c r="B50" s="2"/>
      <c r="C50" s="2"/>
      <c r="D50" s="2"/>
      <c r="E50" s="134">
        <v>2</v>
      </c>
      <c r="F50" s="2"/>
      <c r="G50" s="2" t="s">
        <v>297</v>
      </c>
      <c r="H50" s="2"/>
      <c r="I50" s="2"/>
      <c r="J50" s="2"/>
      <c r="K50" s="119"/>
    </row>
    <row r="51" spans="1:11" ht="15">
      <c r="A51" s="2" t="s">
        <v>298</v>
      </c>
      <c r="B51" s="2"/>
      <c r="C51" s="2"/>
      <c r="D51" s="2"/>
      <c r="E51" s="134">
        <v>40</v>
      </c>
      <c r="F51" s="2"/>
      <c r="G51" s="316">
        <f>IF(E48&lt;0.5,+E47*E49^2,(3.1415926*(E48^2)/4)*E47)</f>
        <v>98.17476875</v>
      </c>
      <c r="H51" s="2"/>
      <c r="I51" s="2"/>
      <c r="J51" s="2"/>
      <c r="K51" s="119"/>
    </row>
    <row r="52" spans="1:10" ht="15">
      <c r="A52" s="2" t="s">
        <v>299</v>
      </c>
      <c r="B52" s="2"/>
      <c r="C52" s="2"/>
      <c r="D52" s="2"/>
      <c r="E52" s="104"/>
      <c r="F52" s="2"/>
      <c r="G52" s="2"/>
      <c r="H52" s="2"/>
      <c r="I52" s="2"/>
      <c r="J52" s="2"/>
    </row>
    <row r="53" spans="1:10" ht="15">
      <c r="A53" s="2" t="s">
        <v>300</v>
      </c>
      <c r="B53" s="2"/>
      <c r="C53" s="2"/>
      <c r="D53" s="2"/>
      <c r="E53" s="134">
        <v>20</v>
      </c>
      <c r="F53" s="2"/>
      <c r="G53" s="2"/>
      <c r="H53" s="2"/>
      <c r="I53" s="2"/>
      <c r="J53" s="2"/>
    </row>
    <row r="54" spans="1:10" ht="15">
      <c r="A54" s="2" t="s">
        <v>301</v>
      </c>
      <c r="B54" s="2"/>
      <c r="C54" s="2"/>
      <c r="D54" s="2"/>
      <c r="E54" s="230">
        <v>0.5</v>
      </c>
      <c r="F54" s="2"/>
      <c r="G54" s="2"/>
      <c r="H54" s="2"/>
      <c r="I54" s="2"/>
      <c r="J54" s="2"/>
    </row>
    <row r="55" spans="1:10" ht="15">
      <c r="A55" s="2" t="s">
        <v>397</v>
      </c>
      <c r="B55" s="2"/>
      <c r="C55" s="2"/>
      <c r="D55" s="2"/>
      <c r="E55" s="230">
        <v>5</v>
      </c>
      <c r="F55" s="2"/>
      <c r="G55" s="21" t="str">
        <f>IF(AND(E55&gt;0,E58&gt;0),"ERROR maybe, Building and Wrapping? See cells P26 &amp; P29 &amp; P31"," ")</f>
        <v> </v>
      </c>
      <c r="H55" s="2"/>
      <c r="I55" s="2"/>
      <c r="J55" s="2"/>
    </row>
    <row r="56" spans="1:10" ht="15">
      <c r="A56" s="2" t="s">
        <v>380</v>
      </c>
      <c r="B56" s="2"/>
      <c r="C56" s="2"/>
      <c r="D56" s="2"/>
      <c r="E56" s="134">
        <v>90</v>
      </c>
      <c r="F56" s="2" t="s">
        <v>119</v>
      </c>
      <c r="G56" s="2" t="s">
        <v>382</v>
      </c>
      <c r="H56" s="2"/>
      <c r="I56" s="2"/>
      <c r="J56" s="2"/>
    </row>
    <row r="57" spans="1:10" ht="15">
      <c r="A57" s="2" t="s">
        <v>302</v>
      </c>
      <c r="B57" s="2"/>
      <c r="C57" s="2"/>
      <c r="D57" s="2"/>
      <c r="E57" s="134">
        <v>3</v>
      </c>
      <c r="F57" s="2"/>
      <c r="G57" s="2"/>
      <c r="H57" s="2"/>
      <c r="I57" s="2"/>
      <c r="J57" s="2"/>
    </row>
    <row r="58" spans="1:10" ht="15">
      <c r="A58" s="2" t="s">
        <v>122</v>
      </c>
      <c r="B58" s="2"/>
      <c r="C58" s="2"/>
      <c r="D58" s="2"/>
      <c r="E58" s="134">
        <v>0</v>
      </c>
      <c r="F58" s="2"/>
      <c r="G58" s="21" t="str">
        <f>IF(AND(E55&gt;0,E58&gt;0),"ERROR maybe, Building and Wrapping? See cells P26 &amp; P29 &amp; P31"," ")</f>
        <v> </v>
      </c>
      <c r="H58" s="2"/>
      <c r="I58" s="2"/>
      <c r="J58" s="2"/>
    </row>
    <row r="59" spans="1:10" ht="15">
      <c r="A59" s="2" t="s">
        <v>123</v>
      </c>
      <c r="B59" s="2"/>
      <c r="C59" s="2"/>
      <c r="D59" s="2"/>
      <c r="E59" s="134">
        <v>2</v>
      </c>
      <c r="F59" s="2"/>
      <c r="G59" s="2"/>
      <c r="H59" s="2"/>
      <c r="I59" s="2"/>
      <c r="J59" s="2"/>
    </row>
    <row r="60" spans="1:10" ht="15">
      <c r="A60" s="2" t="s">
        <v>303</v>
      </c>
      <c r="B60" s="2"/>
      <c r="C60" s="2"/>
      <c r="D60" s="2"/>
      <c r="E60" s="230">
        <v>0</v>
      </c>
      <c r="F60" s="2" t="s">
        <v>119</v>
      </c>
      <c r="G60" s="2" t="s">
        <v>478</v>
      </c>
      <c r="H60" s="2"/>
      <c r="I60" s="2"/>
      <c r="J60" s="2"/>
    </row>
    <row r="61" spans="1:10" ht="15">
      <c r="A61" s="2" t="s">
        <v>120</v>
      </c>
      <c r="B61" s="2"/>
      <c r="C61" s="2"/>
      <c r="D61" s="2"/>
      <c r="E61" s="137">
        <f>Inputs!B14/(G51*E46/2000)</f>
        <v>626.8256327159572</v>
      </c>
      <c r="F61" s="2" t="s">
        <v>119</v>
      </c>
      <c r="G61" s="2" t="s">
        <v>479</v>
      </c>
      <c r="H61" s="2"/>
      <c r="I61" s="2"/>
      <c r="J61" s="2"/>
    </row>
    <row r="62" spans="1:10" ht="15">
      <c r="A62" s="2" t="s">
        <v>304</v>
      </c>
      <c r="B62" s="2"/>
      <c r="C62" s="2"/>
      <c r="D62" s="2"/>
      <c r="E62" s="318">
        <f>ROUND(+E51/(IF(E48&gt;0,E48/(E56/100),E49/(E56/100))),0)</f>
        <v>7</v>
      </c>
      <c r="F62" s="2"/>
      <c r="G62" s="2"/>
      <c r="H62" s="2"/>
      <c r="I62" s="2"/>
      <c r="J62" s="2"/>
    </row>
    <row r="63" spans="1:10" ht="15">
      <c r="A63" s="2" t="s">
        <v>305</v>
      </c>
      <c r="B63" s="2"/>
      <c r="C63" s="2"/>
      <c r="D63" s="2"/>
      <c r="E63" s="313">
        <f>ROUND(+Inputs!B14*2000/E46/(E62*IF(E48&gt;0,E48,E49)*(E50*(IF(E48&gt;0,E48,E49)))),0)</f>
        <v>176</v>
      </c>
      <c r="F63" s="2"/>
      <c r="G63" s="2"/>
      <c r="H63" s="2"/>
      <c r="I63" s="2"/>
      <c r="J63" s="2"/>
    </row>
    <row r="64" spans="1:10" ht="15">
      <c r="A64" s="2" t="s">
        <v>306</v>
      </c>
      <c r="B64" s="2"/>
      <c r="C64" s="2"/>
      <c r="D64" s="2"/>
      <c r="E64" s="276">
        <f>IF(E49&gt;0,(ROUND(0.45+(E49*E50/(E56/100)+2),0)),(IF(E48&gt;0,(ROUND(0.45+(E48*E50/(E56/100)+2),0)),"Error one bale dimension is zero")))</f>
        <v>14</v>
      </c>
      <c r="F64" s="2"/>
      <c r="G64" s="2"/>
      <c r="H64" s="2"/>
      <c r="I64" s="2"/>
      <c r="J64" s="2"/>
    </row>
    <row r="65" spans="1:10" ht="15">
      <c r="A65" s="2" t="s">
        <v>307</v>
      </c>
      <c r="B65" s="2"/>
      <c r="C65" s="2"/>
      <c r="D65" s="2"/>
      <c r="E65" s="276">
        <f>E63*E51</f>
        <v>7040</v>
      </c>
      <c r="F65" s="2"/>
      <c r="G65" s="2" t="s">
        <v>308</v>
      </c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2" t="s">
        <v>309</v>
      </c>
      <c r="B67" s="2"/>
      <c r="C67" s="2"/>
      <c r="D67" s="2"/>
      <c r="E67" s="319">
        <f>(+E53+E51)*E63*E54+E65*E55</f>
        <v>40480</v>
      </c>
      <c r="F67" s="2" t="s">
        <v>119</v>
      </c>
      <c r="G67" s="2" t="s">
        <v>480</v>
      </c>
      <c r="H67" s="2"/>
      <c r="I67" s="2"/>
      <c r="J67" s="2"/>
    </row>
    <row r="68" spans="1:10" ht="15.75">
      <c r="A68" s="2" t="s">
        <v>315</v>
      </c>
      <c r="B68" s="2"/>
      <c r="C68" s="2"/>
      <c r="D68" s="2"/>
      <c r="E68" s="320">
        <f>E61*E57/60</f>
        <v>31.341281635797863</v>
      </c>
      <c r="F68" s="2" t="s">
        <v>119</v>
      </c>
      <c r="G68" s="2" t="s">
        <v>481</v>
      </c>
      <c r="H68" s="2"/>
      <c r="I68" s="2"/>
      <c r="J68" s="2"/>
    </row>
    <row r="69" spans="1:10" ht="15.75">
      <c r="A69" s="2" t="s">
        <v>311</v>
      </c>
      <c r="B69" s="2"/>
      <c r="C69" s="2"/>
      <c r="D69" s="2"/>
      <c r="E69" s="320">
        <f>E61*E58/60</f>
        <v>0</v>
      </c>
      <c r="F69" s="2" t="s">
        <v>119</v>
      </c>
      <c r="G69" s="2" t="s">
        <v>314</v>
      </c>
      <c r="H69" s="2"/>
      <c r="I69" s="2"/>
      <c r="J69" s="2"/>
    </row>
    <row r="70" spans="1:10" ht="15.75">
      <c r="A70" s="2" t="s">
        <v>313</v>
      </c>
      <c r="B70" s="2"/>
      <c r="C70" s="2"/>
      <c r="D70" s="2"/>
      <c r="E70" s="320">
        <f>E61*E59/60</f>
        <v>20.894187757198573</v>
      </c>
      <c r="F70" s="2" t="s">
        <v>119</v>
      </c>
      <c r="G70" s="2" t="s">
        <v>312</v>
      </c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8">
      <c r="A77" s="315" t="s">
        <v>319</v>
      </c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5" t="s">
        <v>326</v>
      </c>
      <c r="B78" s="2"/>
      <c r="C78" s="2"/>
      <c r="D78" s="2"/>
      <c r="E78" s="2"/>
      <c r="F78" s="2"/>
      <c r="G78" s="180" t="s">
        <v>448</v>
      </c>
      <c r="H78" s="2"/>
      <c r="I78" s="2"/>
      <c r="J78" s="2"/>
    </row>
    <row r="79" spans="1:10" ht="15">
      <c r="A79" s="2" t="s">
        <v>413</v>
      </c>
      <c r="B79" s="2"/>
      <c r="C79" s="2"/>
      <c r="D79" s="2"/>
      <c r="E79" s="134">
        <v>10</v>
      </c>
      <c r="F79" s="2" t="s">
        <v>119</v>
      </c>
      <c r="G79" s="180" t="s">
        <v>450</v>
      </c>
      <c r="H79" s="2"/>
      <c r="I79" s="2"/>
      <c r="J79" s="2"/>
    </row>
    <row r="80" spans="1:10" ht="15">
      <c r="A80" s="2" t="s">
        <v>320</v>
      </c>
      <c r="B80" s="2"/>
      <c r="C80" s="2"/>
      <c r="D80" s="2"/>
      <c r="E80" s="134">
        <v>5</v>
      </c>
      <c r="F80" s="2"/>
      <c r="G80" s="2"/>
      <c r="H80" s="2"/>
      <c r="I80" s="2"/>
      <c r="J80" s="18"/>
    </row>
    <row r="81" spans="1:10" ht="15">
      <c r="A81" s="2" t="s">
        <v>294</v>
      </c>
      <c r="B81" s="2"/>
      <c r="C81" s="2"/>
      <c r="D81" s="2"/>
      <c r="E81" s="134">
        <v>0</v>
      </c>
      <c r="F81" s="2"/>
      <c r="G81" s="21" t="str">
        <f>IF(AND(E81&gt;0,E82&gt;0),"ERROR in cell E81 or E82"," ")</f>
        <v> </v>
      </c>
      <c r="H81" s="2"/>
      <c r="I81" s="2"/>
      <c r="J81" s="18"/>
    </row>
    <row r="82" spans="1:10" ht="15">
      <c r="A82" s="2" t="s">
        <v>295</v>
      </c>
      <c r="B82" s="2"/>
      <c r="C82" s="2"/>
      <c r="D82" s="2"/>
      <c r="E82" s="134">
        <v>2.5</v>
      </c>
      <c r="F82" s="2"/>
      <c r="G82" s="21" t="str">
        <f>IF(AND(E81=0,E82=0),"ERROR in cell E81 or E82"," ")</f>
        <v> </v>
      </c>
      <c r="H82" s="2"/>
      <c r="I82" s="2"/>
      <c r="J82" s="18"/>
    </row>
    <row r="83" spans="1:10" ht="15">
      <c r="A83" s="2" t="s">
        <v>296</v>
      </c>
      <c r="B83" s="2"/>
      <c r="C83" s="2"/>
      <c r="D83" s="2"/>
      <c r="E83" s="134">
        <v>2</v>
      </c>
      <c r="F83" s="2"/>
      <c r="G83" s="2" t="s">
        <v>297</v>
      </c>
      <c r="H83" s="2"/>
      <c r="I83" s="2"/>
      <c r="J83" s="18"/>
    </row>
    <row r="84" spans="1:10" ht="15">
      <c r="A84" s="2" t="s">
        <v>110</v>
      </c>
      <c r="B84" s="2"/>
      <c r="C84" s="2"/>
      <c r="D84" s="2"/>
      <c r="E84" s="134">
        <v>0.5</v>
      </c>
      <c r="F84" s="2"/>
      <c r="G84" s="321">
        <f>IF(E81&lt;0.5,+E80*E82^2,(3.1415926*(E81^2)/4)*E80)</f>
        <v>31.25</v>
      </c>
      <c r="H84" s="2"/>
      <c r="I84" s="2"/>
      <c r="J84" s="18"/>
    </row>
    <row r="85" spans="1:10" ht="15">
      <c r="A85" s="2" t="s">
        <v>121</v>
      </c>
      <c r="B85" s="2"/>
      <c r="C85" s="2"/>
      <c r="D85" s="2"/>
      <c r="E85" s="134">
        <v>3</v>
      </c>
      <c r="F85" s="2"/>
      <c r="G85" s="2"/>
      <c r="H85" s="2"/>
      <c r="I85" s="2"/>
      <c r="J85" s="18"/>
    </row>
    <row r="86" spans="1:10" ht="15">
      <c r="A86" s="2" t="s">
        <v>122</v>
      </c>
      <c r="B86" s="2"/>
      <c r="C86" s="2"/>
      <c r="D86" s="2"/>
      <c r="E86" s="134">
        <v>5</v>
      </c>
      <c r="F86" s="2"/>
      <c r="G86" s="2"/>
      <c r="H86" s="2"/>
      <c r="I86" s="2"/>
      <c r="J86" s="18"/>
    </row>
    <row r="87" spans="1:10" ht="15">
      <c r="A87" s="2" t="s">
        <v>123</v>
      </c>
      <c r="B87" s="2"/>
      <c r="C87" s="2"/>
      <c r="D87" s="2"/>
      <c r="E87" s="134">
        <v>2</v>
      </c>
      <c r="F87" s="2"/>
      <c r="G87" s="2"/>
      <c r="H87" s="2"/>
      <c r="I87" s="2"/>
      <c r="J87" s="18"/>
    </row>
    <row r="88" spans="1:10" ht="15">
      <c r="A88" s="2" t="s">
        <v>303</v>
      </c>
      <c r="B88" s="2"/>
      <c r="C88" s="2"/>
      <c r="D88" s="2"/>
      <c r="E88" s="230">
        <v>3</v>
      </c>
      <c r="F88" s="2" t="s">
        <v>119</v>
      </c>
      <c r="G88" s="2" t="s">
        <v>482</v>
      </c>
      <c r="H88" s="2"/>
      <c r="I88" s="2"/>
      <c r="J88" s="18"/>
    </row>
    <row r="89" spans="1:10" ht="15">
      <c r="A89" s="2" t="s">
        <v>496</v>
      </c>
      <c r="B89" s="2"/>
      <c r="C89" s="2"/>
      <c r="D89" s="2"/>
      <c r="E89" s="134">
        <v>90</v>
      </c>
      <c r="F89" s="2" t="s">
        <v>119</v>
      </c>
      <c r="G89" s="2" t="s">
        <v>381</v>
      </c>
      <c r="H89" s="2"/>
      <c r="I89" s="2"/>
      <c r="J89" s="18"/>
    </row>
    <row r="90" spans="1:10" ht="15">
      <c r="A90" s="2" t="s">
        <v>120</v>
      </c>
      <c r="B90" s="2"/>
      <c r="C90" s="2"/>
      <c r="D90" s="2"/>
      <c r="E90" s="137">
        <f>Inputs!B14/(G84*E79/2000)</f>
        <v>2560</v>
      </c>
      <c r="F90" s="2" t="s">
        <v>119</v>
      </c>
      <c r="G90" s="2" t="s">
        <v>483</v>
      </c>
      <c r="H90" s="2"/>
      <c r="I90" s="2"/>
      <c r="J90" s="18"/>
    </row>
    <row r="91" spans="1:10" ht="15">
      <c r="A91" s="2" t="s">
        <v>124</v>
      </c>
      <c r="B91" s="2"/>
      <c r="C91" s="2"/>
      <c r="D91" s="2"/>
      <c r="E91" s="276">
        <f>ROUND(0.45+SQRT(E90/E83),0)</f>
        <v>36</v>
      </c>
      <c r="F91" s="2"/>
      <c r="G91" s="2"/>
      <c r="H91" s="2"/>
      <c r="I91" s="2"/>
      <c r="J91" s="18"/>
    </row>
    <row r="92" spans="1:10" ht="15">
      <c r="A92" s="2" t="s">
        <v>116</v>
      </c>
      <c r="B92" s="2"/>
      <c r="C92" s="2"/>
      <c r="D92" s="2"/>
      <c r="E92" s="313">
        <f>E80*E91/(E89/100)+20</f>
        <v>220</v>
      </c>
      <c r="F92" s="2"/>
      <c r="G92" s="2" t="s">
        <v>321</v>
      </c>
      <c r="H92" s="2"/>
      <c r="I92" s="2"/>
      <c r="J92" s="2"/>
    </row>
    <row r="93" spans="1:10" ht="15">
      <c r="A93" s="2" t="s">
        <v>117</v>
      </c>
      <c r="B93" s="2"/>
      <c r="C93" s="2"/>
      <c r="D93" s="2"/>
      <c r="E93" s="313">
        <f>IF(E81&gt;0,(E81*E91/(E89/100))+20,(IF(E82&gt;0,(E82*E91/(E89/100)+20),"ERROR Width &amp; Dia = 0")))</f>
        <v>120</v>
      </c>
      <c r="F93" s="2"/>
      <c r="G93" s="2" t="s">
        <v>322</v>
      </c>
      <c r="H93" s="2"/>
      <c r="I93" s="2"/>
      <c r="J93" s="2"/>
    </row>
    <row r="94" spans="1:10" ht="15">
      <c r="A94" s="2" t="s">
        <v>323</v>
      </c>
      <c r="B94" s="2"/>
      <c r="C94" s="2"/>
      <c r="D94" s="2"/>
      <c r="E94" s="126">
        <f>(+E92*E93*E84)</f>
        <v>13200</v>
      </c>
      <c r="F94" s="2" t="s">
        <v>119</v>
      </c>
      <c r="G94" s="2" t="s">
        <v>484</v>
      </c>
      <c r="H94" s="2"/>
      <c r="I94" s="2"/>
      <c r="J94" s="2"/>
    </row>
    <row r="95" spans="1:10" ht="15">
      <c r="A95" s="2" t="s">
        <v>310</v>
      </c>
      <c r="B95" s="2"/>
      <c r="C95" s="2"/>
      <c r="D95" s="2"/>
      <c r="E95" s="137">
        <f>E90*E85/60</f>
        <v>128</v>
      </c>
      <c r="F95" s="2" t="s">
        <v>119</v>
      </c>
      <c r="G95" s="2" t="s">
        <v>485</v>
      </c>
      <c r="H95" s="2"/>
      <c r="I95" s="2"/>
      <c r="J95" s="2"/>
    </row>
    <row r="96" spans="1:10" ht="15">
      <c r="A96" s="2" t="s">
        <v>311</v>
      </c>
      <c r="B96" s="2"/>
      <c r="C96" s="2"/>
      <c r="D96" s="2"/>
      <c r="E96" s="137">
        <f>E90*E86/60</f>
        <v>213.33333333333334</v>
      </c>
      <c r="F96" s="2" t="s">
        <v>119</v>
      </c>
      <c r="G96" s="2" t="s">
        <v>325</v>
      </c>
      <c r="H96" s="2"/>
      <c r="I96" s="2"/>
      <c r="J96" s="2"/>
    </row>
    <row r="97" spans="1:10" ht="15">
      <c r="A97" s="2" t="s">
        <v>313</v>
      </c>
      <c r="B97" s="2"/>
      <c r="C97" s="2"/>
      <c r="D97" s="2"/>
      <c r="E97" s="137">
        <f>E90*E87/60</f>
        <v>85.33333333333333</v>
      </c>
      <c r="F97" s="2" t="s">
        <v>119</v>
      </c>
      <c r="G97" s="2" t="s">
        <v>324</v>
      </c>
      <c r="H97" s="2"/>
      <c r="I97" s="2"/>
      <c r="J97" s="2"/>
    </row>
    <row r="98" spans="1:10" ht="15">
      <c r="A98" s="2"/>
      <c r="B98" s="2"/>
      <c r="C98" s="2"/>
      <c r="D98" s="2"/>
      <c r="E98" s="2" t="s">
        <v>365</v>
      </c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18" t="s">
        <v>379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1" ht="17.25">
      <c r="A115" s="55" t="s">
        <v>125</v>
      </c>
      <c r="B115" s="2"/>
      <c r="C115" s="2"/>
      <c r="D115" s="2"/>
      <c r="E115" s="2"/>
      <c r="F115" s="18"/>
      <c r="G115" s="18"/>
      <c r="H115" s="18"/>
      <c r="I115" s="18"/>
      <c r="J115" s="18"/>
      <c r="K115" s="115"/>
    </row>
    <row r="116" spans="1:10" ht="15">
      <c r="A116" s="8" t="s">
        <v>12</v>
      </c>
      <c r="B116" s="8" t="s">
        <v>12</v>
      </c>
      <c r="C116" s="8" t="s">
        <v>12</v>
      </c>
      <c r="D116" s="8" t="s">
        <v>12</v>
      </c>
      <c r="E116" s="8" t="s">
        <v>12</v>
      </c>
      <c r="F116" s="18"/>
      <c r="G116" s="2"/>
      <c r="H116" s="9" t="s">
        <v>286</v>
      </c>
      <c r="I116" s="18"/>
      <c r="J116" s="18"/>
    </row>
    <row r="117" spans="1:10" ht="15">
      <c r="A117" s="2" t="s">
        <v>126</v>
      </c>
      <c r="B117" s="2"/>
      <c r="C117" s="2"/>
      <c r="D117" s="2"/>
      <c r="E117" s="130">
        <v>14</v>
      </c>
      <c r="F117" s="18"/>
      <c r="G117" s="2"/>
      <c r="H117" s="9" t="s">
        <v>287</v>
      </c>
      <c r="I117" s="18"/>
      <c r="J117" s="18"/>
    </row>
    <row r="118" spans="1:10" ht="15">
      <c r="A118" s="2" t="s">
        <v>357</v>
      </c>
      <c r="B118" s="2"/>
      <c r="C118" s="2"/>
      <c r="D118" s="2"/>
      <c r="E118" s="130">
        <v>134</v>
      </c>
      <c r="F118" s="18"/>
      <c r="G118" s="9"/>
      <c r="H118" s="310">
        <f>Inputs!B14</f>
        <v>400</v>
      </c>
      <c r="I118" s="2" t="s">
        <v>487</v>
      </c>
      <c r="J118" s="18"/>
    </row>
    <row r="119" spans="1:10" ht="15">
      <c r="A119" s="2" t="s">
        <v>128</v>
      </c>
      <c r="B119" s="2"/>
      <c r="C119" s="2"/>
      <c r="D119" s="2"/>
      <c r="E119" s="130">
        <v>9</v>
      </c>
      <c r="F119" s="18"/>
      <c r="G119" s="2"/>
      <c r="H119" s="2"/>
      <c r="I119" s="9"/>
      <c r="J119" s="18"/>
    </row>
    <row r="120" spans="1:10" ht="15">
      <c r="A120" s="322" t="s">
        <v>259</v>
      </c>
      <c r="B120" s="2"/>
      <c r="C120" s="2"/>
      <c r="D120" s="2"/>
      <c r="E120" s="343">
        <v>0</v>
      </c>
      <c r="F120" s="2" t="s">
        <v>131</v>
      </c>
      <c r="G120" s="2" t="s">
        <v>486</v>
      </c>
      <c r="H120" s="2"/>
      <c r="I120" s="2"/>
      <c r="J120" s="18"/>
    </row>
    <row r="121" spans="1:10" ht="15">
      <c r="A121" s="2" t="s">
        <v>129</v>
      </c>
      <c r="B121" s="2"/>
      <c r="C121" s="2"/>
      <c r="D121" s="2"/>
      <c r="E121" s="130">
        <v>3</v>
      </c>
      <c r="F121" s="2"/>
      <c r="G121" s="2"/>
      <c r="H121" s="2"/>
      <c r="I121" s="2"/>
      <c r="J121" s="2"/>
    </row>
    <row r="122" spans="1:10" ht="15">
      <c r="A122" s="2" t="s">
        <v>132</v>
      </c>
      <c r="B122" s="2"/>
      <c r="C122" s="2"/>
      <c r="D122" s="2"/>
      <c r="E122" s="130">
        <v>10</v>
      </c>
      <c r="F122" s="18"/>
      <c r="G122" s="2"/>
      <c r="H122" s="2"/>
      <c r="I122" s="2"/>
      <c r="J122" s="18"/>
    </row>
    <row r="123" spans="1:10" ht="15">
      <c r="A123" s="2" t="s">
        <v>110</v>
      </c>
      <c r="B123" s="2"/>
      <c r="C123" s="2"/>
      <c r="D123" s="2"/>
      <c r="E123" s="132">
        <v>0.5</v>
      </c>
      <c r="F123" s="18"/>
      <c r="G123" s="2"/>
      <c r="H123" s="2"/>
      <c r="I123" s="2"/>
      <c r="J123" s="2"/>
    </row>
    <row r="124" spans="1:10" ht="15">
      <c r="A124" s="322" t="s">
        <v>341</v>
      </c>
      <c r="B124" s="2"/>
      <c r="C124" s="2"/>
      <c r="D124" s="2"/>
      <c r="E124" s="130">
        <v>8</v>
      </c>
      <c r="F124" s="2"/>
      <c r="G124" s="2"/>
      <c r="H124" s="2"/>
      <c r="I124" s="2"/>
      <c r="J124" s="2"/>
    </row>
    <row r="125" spans="1:10" ht="15">
      <c r="A125" s="2" t="s">
        <v>288</v>
      </c>
      <c r="B125" s="2"/>
      <c r="C125" s="2"/>
      <c r="D125" s="2"/>
      <c r="E125" s="130">
        <v>10</v>
      </c>
      <c r="F125" s="2"/>
      <c r="G125" s="2"/>
      <c r="H125" s="2"/>
      <c r="I125" s="2"/>
      <c r="J125" s="2"/>
    </row>
    <row r="126" spans="1:10" ht="15">
      <c r="A126" s="2" t="s">
        <v>358</v>
      </c>
      <c r="B126" s="2"/>
      <c r="C126" s="2"/>
      <c r="D126" s="2"/>
      <c r="E126" s="341">
        <v>25</v>
      </c>
      <c r="F126" s="2"/>
      <c r="G126" s="2"/>
      <c r="H126" s="2"/>
      <c r="I126" s="2"/>
      <c r="J126" s="2"/>
    </row>
    <row r="127" spans="1:10" ht="15">
      <c r="A127" s="2" t="s">
        <v>453</v>
      </c>
      <c r="B127" s="2"/>
      <c r="C127" s="2"/>
      <c r="D127" s="2"/>
      <c r="E127" s="341">
        <v>8</v>
      </c>
      <c r="F127" s="2"/>
      <c r="G127" s="2"/>
      <c r="H127" s="2"/>
      <c r="I127" s="2"/>
      <c r="J127" s="2"/>
    </row>
    <row r="128" spans="1:10" ht="15">
      <c r="A128" s="2" t="s">
        <v>378</v>
      </c>
      <c r="B128" s="2"/>
      <c r="C128" s="2"/>
      <c r="D128" s="2"/>
      <c r="E128" s="342">
        <v>1.5</v>
      </c>
      <c r="F128" s="2"/>
      <c r="G128" s="2"/>
      <c r="H128" s="2"/>
      <c r="I128" s="2"/>
      <c r="J128" s="2"/>
    </row>
    <row r="129" spans="1:10" ht="15">
      <c r="A129" s="2" t="s">
        <v>377</v>
      </c>
      <c r="B129" s="2"/>
      <c r="C129" s="2"/>
      <c r="D129" s="2"/>
      <c r="E129" s="342">
        <v>5</v>
      </c>
      <c r="F129" s="2"/>
      <c r="G129" s="2"/>
      <c r="H129" s="2"/>
      <c r="I129" s="2"/>
      <c r="J129" s="2"/>
    </row>
    <row r="130" spans="1:10" ht="15">
      <c r="A130" s="2" t="s">
        <v>360</v>
      </c>
      <c r="B130" s="2"/>
      <c r="C130" s="2"/>
      <c r="D130" s="2"/>
      <c r="E130" s="125">
        <f>E127*88</f>
        <v>704</v>
      </c>
      <c r="F130" s="2"/>
      <c r="G130" s="2"/>
      <c r="H130" s="2"/>
      <c r="I130" s="2"/>
      <c r="J130" s="2"/>
    </row>
    <row r="131" spans="1:10" ht="15">
      <c r="A131" s="2" t="s">
        <v>361</v>
      </c>
      <c r="B131" s="2"/>
      <c r="C131" s="2"/>
      <c r="D131" s="2"/>
      <c r="E131" s="125">
        <f>IF(E126&gt;25,E126-25,0)</f>
        <v>0</v>
      </c>
      <c r="F131" s="2"/>
      <c r="G131" s="2"/>
      <c r="H131" s="2"/>
      <c r="I131" s="2"/>
      <c r="J131" s="2"/>
    </row>
    <row r="132" spans="1:10" ht="15">
      <c r="A132" s="2" t="s">
        <v>362</v>
      </c>
      <c r="B132" s="2"/>
      <c r="C132" s="2"/>
      <c r="D132" s="2"/>
      <c r="E132" s="311">
        <f>2*E131/E130</f>
        <v>0</v>
      </c>
      <c r="F132" s="2"/>
      <c r="G132" s="2"/>
      <c r="H132" s="2"/>
      <c r="I132" s="2"/>
      <c r="J132" s="2"/>
    </row>
    <row r="133" spans="1:10" ht="15">
      <c r="A133" s="2" t="s">
        <v>363</v>
      </c>
      <c r="B133" s="2"/>
      <c r="C133" s="2"/>
      <c r="D133" s="2"/>
      <c r="E133" s="312">
        <f>60/(0.8+E132)</f>
        <v>75</v>
      </c>
      <c r="F133" s="2"/>
      <c r="G133" s="2"/>
      <c r="H133" s="2"/>
      <c r="I133" s="2"/>
      <c r="J133" s="2"/>
    </row>
    <row r="134" spans="1:10" ht="15">
      <c r="A134" s="2" t="s">
        <v>400</v>
      </c>
      <c r="B134" s="2"/>
      <c r="C134" s="2"/>
      <c r="D134" s="2"/>
      <c r="E134" s="321">
        <f>E133*E128*27*E129/2000</f>
        <v>7.59375</v>
      </c>
      <c r="F134" s="2"/>
      <c r="G134" s="2"/>
      <c r="H134" s="2"/>
      <c r="I134" s="2"/>
      <c r="J134" s="2"/>
    </row>
    <row r="135" spans="1:10" ht="15">
      <c r="A135" s="2" t="s">
        <v>469</v>
      </c>
      <c r="B135" s="2"/>
      <c r="C135" s="2"/>
      <c r="D135" s="2"/>
      <c r="E135" s="117">
        <f>CEILING((+H118*2000/E117)/(3.1415926*(E119^2)*E118/4),1)</f>
        <v>7</v>
      </c>
      <c r="F135" s="2" t="s">
        <v>131</v>
      </c>
      <c r="G135" s="2" t="s">
        <v>488</v>
      </c>
      <c r="H135" s="18"/>
      <c r="I135" s="116"/>
      <c r="J135" s="18"/>
    </row>
    <row r="136" spans="1:10" ht="15">
      <c r="A136" s="2" t="s">
        <v>394</v>
      </c>
      <c r="B136" s="2"/>
      <c r="C136" s="2"/>
      <c r="D136" s="2"/>
      <c r="E136" s="114">
        <f>E135*(3.1415926*(E119^2)/4)*E118</f>
        <v>59672.9806407</v>
      </c>
      <c r="F136" s="276" t="s">
        <v>454</v>
      </c>
      <c r="G136" s="313">
        <f>+E136*E117/2000</f>
        <v>417.7108644849</v>
      </c>
      <c r="H136" s="276" t="s">
        <v>130</v>
      </c>
      <c r="I136" s="2"/>
      <c r="J136" s="18"/>
    </row>
    <row r="137" spans="1:10" ht="15">
      <c r="A137" s="2" t="s">
        <v>116</v>
      </c>
      <c r="B137" s="2"/>
      <c r="C137" s="2"/>
      <c r="D137" s="2"/>
      <c r="E137" s="276">
        <f>E118+2*E122</f>
        <v>154</v>
      </c>
      <c r="F137" s="2"/>
      <c r="G137" s="2"/>
      <c r="H137" s="2"/>
      <c r="I137" s="2"/>
      <c r="J137" s="18"/>
    </row>
    <row r="138" spans="1:10" ht="15">
      <c r="A138" s="2" t="s">
        <v>117</v>
      </c>
      <c r="B138" s="2"/>
      <c r="C138" s="2"/>
      <c r="D138" s="2"/>
      <c r="E138" s="276">
        <f>ROUND(E135+0.5,0)*(E119+E121)</f>
        <v>96</v>
      </c>
      <c r="F138" s="18"/>
      <c r="G138" s="2"/>
      <c r="H138" s="2"/>
      <c r="I138" s="2"/>
      <c r="J138" s="2"/>
    </row>
    <row r="139" spans="1:10" ht="15">
      <c r="A139" s="2" t="s">
        <v>118</v>
      </c>
      <c r="B139" s="2"/>
      <c r="C139" s="2"/>
      <c r="D139" s="2"/>
      <c r="E139" s="276">
        <f>E137*E138</f>
        <v>14784</v>
      </c>
      <c r="F139" s="3"/>
      <c r="G139" s="2"/>
      <c r="H139" s="2"/>
      <c r="I139" s="2"/>
      <c r="J139" s="2"/>
    </row>
    <row r="140" spans="1:10" ht="15">
      <c r="A140" s="2" t="s">
        <v>395</v>
      </c>
      <c r="B140" s="2"/>
      <c r="C140" s="2"/>
      <c r="D140" s="2"/>
      <c r="E140" s="126">
        <f>E139*E123</f>
        <v>7392</v>
      </c>
      <c r="F140" s="323" t="s">
        <v>119</v>
      </c>
      <c r="G140" s="323" t="s">
        <v>449</v>
      </c>
      <c r="H140" s="2"/>
      <c r="I140" s="2"/>
      <c r="J140" s="2"/>
    </row>
    <row r="141" spans="1:10" ht="15">
      <c r="A141" s="2" t="s">
        <v>338</v>
      </c>
      <c r="B141" s="2"/>
      <c r="C141" s="2"/>
      <c r="D141" s="2"/>
      <c r="E141" s="324">
        <f>Inputs!B14/E124</f>
        <v>50</v>
      </c>
      <c r="F141" s="323" t="s">
        <v>119</v>
      </c>
      <c r="G141" s="323" t="s">
        <v>489</v>
      </c>
      <c r="H141" s="2"/>
      <c r="I141" s="2"/>
      <c r="J141" s="2"/>
    </row>
    <row r="142" spans="1:10" ht="15">
      <c r="A142" s="2" t="s">
        <v>339</v>
      </c>
      <c r="B142" s="2"/>
      <c r="C142" s="2"/>
      <c r="D142" s="2"/>
      <c r="E142" s="137">
        <f>+(+E125/60)*Inputs!B16</f>
        <v>60</v>
      </c>
      <c r="F142" s="323" t="s">
        <v>119</v>
      </c>
      <c r="G142" s="323" t="s">
        <v>490</v>
      </c>
      <c r="H142" s="2"/>
      <c r="I142" s="2"/>
      <c r="J142" s="2"/>
    </row>
    <row r="143" spans="1:10" ht="15">
      <c r="A143" s="2" t="s">
        <v>340</v>
      </c>
      <c r="B143" s="2"/>
      <c r="C143" s="2"/>
      <c r="D143" s="2"/>
      <c r="E143" s="137">
        <f>Inputs!B14/E134</f>
        <v>52.674897119341566</v>
      </c>
      <c r="F143" s="323" t="s">
        <v>119</v>
      </c>
      <c r="G143" s="323" t="s">
        <v>491</v>
      </c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18" t="s">
        <v>379</v>
      </c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18"/>
      <c r="I152" s="18"/>
      <c r="J152" s="18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7.25">
      <c r="A155" s="55" t="s">
        <v>348</v>
      </c>
      <c r="B155" s="5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8" t="s">
        <v>133</v>
      </c>
      <c r="B156" s="14" t="s">
        <v>133</v>
      </c>
      <c r="C156" s="8" t="s">
        <v>133</v>
      </c>
      <c r="D156" s="8" t="s">
        <v>133</v>
      </c>
      <c r="E156" s="8" t="s">
        <v>133</v>
      </c>
      <c r="F156" s="2"/>
      <c r="G156" s="2"/>
      <c r="H156" s="2"/>
      <c r="I156" s="2"/>
      <c r="J156" s="2"/>
    </row>
    <row r="157" spans="1:10" ht="15">
      <c r="A157" s="2" t="s">
        <v>134</v>
      </c>
      <c r="B157" s="2"/>
      <c r="C157" s="2"/>
      <c r="D157" s="2"/>
      <c r="E157" s="131">
        <v>14</v>
      </c>
      <c r="F157" s="2"/>
      <c r="G157" s="2"/>
      <c r="H157" s="2"/>
      <c r="I157" s="2"/>
      <c r="J157" s="2"/>
    </row>
    <row r="158" spans="1:10" ht="15">
      <c r="A158" s="2" t="s">
        <v>135</v>
      </c>
      <c r="B158" s="2"/>
      <c r="C158" s="2"/>
      <c r="D158" s="2"/>
      <c r="E158" s="325">
        <f>Inputs!B16</f>
        <v>360</v>
      </c>
      <c r="F158" s="127"/>
      <c r="G158" s="2"/>
      <c r="H158" s="2"/>
      <c r="I158" s="2"/>
      <c r="J158" s="2"/>
    </row>
    <row r="159" spans="1:10" ht="15">
      <c r="A159" s="2" t="s">
        <v>401</v>
      </c>
      <c r="B159" s="2"/>
      <c r="C159" s="2"/>
      <c r="D159" s="2"/>
      <c r="E159" s="131">
        <v>0.5</v>
      </c>
      <c r="F159" s="2"/>
      <c r="G159" s="2"/>
      <c r="H159" s="2"/>
      <c r="I159" s="2"/>
      <c r="J159" s="2"/>
    </row>
    <row r="160" spans="1:10" ht="15.75" thickBot="1">
      <c r="A160" s="2" t="s">
        <v>344</v>
      </c>
      <c r="B160" s="2"/>
      <c r="C160" s="2"/>
      <c r="D160" s="2"/>
      <c r="E160" s="131">
        <v>2</v>
      </c>
      <c r="F160" s="2"/>
      <c r="G160" s="2"/>
      <c r="H160" s="2"/>
      <c r="I160" s="2"/>
      <c r="J160" s="2"/>
    </row>
    <row r="161" spans="1:10" ht="15.75" thickTop="1">
      <c r="A161" s="2" t="s">
        <v>342</v>
      </c>
      <c r="B161" s="2"/>
      <c r="C161" s="2"/>
      <c r="D161" s="2"/>
      <c r="E161" s="131">
        <v>10</v>
      </c>
      <c r="F161" s="2"/>
      <c r="G161" s="2"/>
      <c r="H161" s="326" t="s">
        <v>347</v>
      </c>
      <c r="I161" s="327"/>
      <c r="J161" s="328"/>
    </row>
    <row r="162" spans="1:10" ht="15">
      <c r="A162" s="2" t="s">
        <v>163</v>
      </c>
      <c r="B162" s="2"/>
      <c r="C162" s="2"/>
      <c r="D162" s="2"/>
      <c r="E162" s="132">
        <v>1.5</v>
      </c>
      <c r="F162" s="2"/>
      <c r="G162" s="2"/>
      <c r="H162" s="124" t="s">
        <v>346</v>
      </c>
      <c r="I162" s="177"/>
      <c r="J162" s="329"/>
    </row>
    <row r="163" spans="1:10" ht="15">
      <c r="A163" s="2" t="s">
        <v>164</v>
      </c>
      <c r="B163" s="2"/>
      <c r="C163" s="2"/>
      <c r="D163" s="2"/>
      <c r="E163" s="132">
        <v>0.35</v>
      </c>
      <c r="F163" s="2"/>
      <c r="G163" s="2"/>
      <c r="H163" s="124"/>
      <c r="I163" s="177" t="s">
        <v>136</v>
      </c>
      <c r="J163" s="329" t="s">
        <v>136</v>
      </c>
    </row>
    <row r="164" spans="1:10" ht="15">
      <c r="A164" s="2" t="s">
        <v>470</v>
      </c>
      <c r="B164" s="2"/>
      <c r="C164" s="2"/>
      <c r="D164" s="2"/>
      <c r="E164" s="325">
        <f>E158*E159/E160</f>
        <v>90</v>
      </c>
      <c r="F164" s="2"/>
      <c r="G164" s="2"/>
      <c r="H164" s="124"/>
      <c r="I164" s="177" t="s">
        <v>138</v>
      </c>
      <c r="J164" s="329" t="s">
        <v>138</v>
      </c>
    </row>
    <row r="165" spans="1:10" ht="15">
      <c r="A165" s="2" t="s">
        <v>356</v>
      </c>
      <c r="B165" s="2"/>
      <c r="C165" s="2"/>
      <c r="D165" s="2"/>
      <c r="E165" s="330">
        <f>IF(Inputs!B14*2000/(E157*E160*E161*E164)&gt;=16,CEILING((Inputs!B14*2000/(E157*E160*E161*E164)),1),"ERROR: Bunker too narrow")</f>
        <v>32</v>
      </c>
      <c r="F165" s="2"/>
      <c r="G165" s="2"/>
      <c r="H165" s="124" t="s">
        <v>136</v>
      </c>
      <c r="I165" s="177" t="s">
        <v>140</v>
      </c>
      <c r="J165" s="329" t="s">
        <v>141</v>
      </c>
    </row>
    <row r="166" spans="1:10" ht="15">
      <c r="A166" s="2" t="s">
        <v>137</v>
      </c>
      <c r="B166" s="2"/>
      <c r="C166" s="2"/>
      <c r="D166" s="2"/>
      <c r="E166" s="131">
        <v>2</v>
      </c>
      <c r="F166" s="2"/>
      <c r="G166" s="2"/>
      <c r="H166" s="124" t="s">
        <v>139</v>
      </c>
      <c r="I166" s="177" t="s">
        <v>143</v>
      </c>
      <c r="J166" s="329" t="s">
        <v>144</v>
      </c>
    </row>
    <row r="167" spans="1:10" ht="15">
      <c r="A167" s="2" t="s">
        <v>345</v>
      </c>
      <c r="B167" s="2"/>
      <c r="C167" s="331"/>
      <c r="D167" s="2"/>
      <c r="E167" s="131">
        <v>1</v>
      </c>
      <c r="F167" s="2"/>
      <c r="G167" s="2"/>
      <c r="H167" s="124"/>
      <c r="I167" s="177" t="s">
        <v>343</v>
      </c>
      <c r="J167" s="329" t="s">
        <v>343</v>
      </c>
    </row>
    <row r="168" spans="1:10" ht="15">
      <c r="A168" s="2" t="s">
        <v>142</v>
      </c>
      <c r="B168" s="2"/>
      <c r="C168" s="2"/>
      <c r="D168" s="2"/>
      <c r="E168" s="131">
        <v>106</v>
      </c>
      <c r="F168" s="2"/>
      <c r="G168" s="2"/>
      <c r="H168" s="124" t="s">
        <v>146</v>
      </c>
      <c r="I168" s="177" t="s">
        <v>147</v>
      </c>
      <c r="J168" s="329" t="s">
        <v>147</v>
      </c>
    </row>
    <row r="169" spans="1:10" ht="15">
      <c r="A169" s="2" t="s">
        <v>145</v>
      </c>
      <c r="B169" s="2"/>
      <c r="C169" s="2"/>
      <c r="D169" s="2"/>
      <c r="E169" s="131">
        <v>106</v>
      </c>
      <c r="F169" s="2" t="s">
        <v>366</v>
      </c>
      <c r="G169" s="2"/>
      <c r="H169" s="332" t="s">
        <v>133</v>
      </c>
      <c r="I169" s="333" t="s">
        <v>133</v>
      </c>
      <c r="J169" s="334" t="s">
        <v>133</v>
      </c>
    </row>
    <row r="170" spans="1:10" ht="15">
      <c r="A170" s="2" t="s">
        <v>148</v>
      </c>
      <c r="B170" s="2"/>
      <c r="C170" s="2"/>
      <c r="D170" s="2"/>
      <c r="E170" s="132">
        <v>80</v>
      </c>
      <c r="F170" s="2" t="s">
        <v>131</v>
      </c>
      <c r="G170" s="2" t="s">
        <v>131</v>
      </c>
      <c r="H170" s="124" t="s">
        <v>150</v>
      </c>
      <c r="I170" s="177" t="s">
        <v>151</v>
      </c>
      <c r="J170" s="329" t="s">
        <v>152</v>
      </c>
    </row>
    <row r="171" spans="1:10" ht="15">
      <c r="A171" s="2" t="s">
        <v>149</v>
      </c>
      <c r="B171" s="2"/>
      <c r="C171" s="2"/>
      <c r="D171" s="2"/>
      <c r="E171" s="132">
        <v>140</v>
      </c>
      <c r="F171" s="2" t="s">
        <v>131</v>
      </c>
      <c r="G171" s="2" t="s">
        <v>131</v>
      </c>
      <c r="H171" s="124" t="s">
        <v>153</v>
      </c>
      <c r="I171" s="177" t="s">
        <v>154</v>
      </c>
      <c r="J171" s="329" t="s">
        <v>155</v>
      </c>
    </row>
    <row r="172" spans="1:10" ht="15">
      <c r="A172" s="2" t="s">
        <v>156</v>
      </c>
      <c r="B172" s="2"/>
      <c r="C172" s="2"/>
      <c r="D172" s="2"/>
      <c r="E172" s="131">
        <v>22</v>
      </c>
      <c r="F172" s="2"/>
      <c r="G172" s="2"/>
      <c r="H172" s="124" t="s">
        <v>157</v>
      </c>
      <c r="I172" s="177" t="s">
        <v>158</v>
      </c>
      <c r="J172" s="329" t="s">
        <v>159</v>
      </c>
    </row>
    <row r="173" spans="1:10" ht="15.75" thickBot="1">
      <c r="A173" s="2" t="s">
        <v>161</v>
      </c>
      <c r="B173" s="2"/>
      <c r="C173" s="2"/>
      <c r="D173" s="2"/>
      <c r="E173" s="131">
        <v>30</v>
      </c>
      <c r="F173" s="2"/>
      <c r="G173" s="2"/>
      <c r="H173" s="335" t="s">
        <v>133</v>
      </c>
      <c r="I173" s="336" t="s">
        <v>133</v>
      </c>
      <c r="J173" s="337" t="s">
        <v>133</v>
      </c>
    </row>
    <row r="174" spans="1:10" ht="15.75" thickTop="1">
      <c r="A174" s="2" t="s">
        <v>111</v>
      </c>
      <c r="B174" s="2"/>
      <c r="C174" s="2"/>
      <c r="D174" s="2"/>
      <c r="E174" s="346">
        <v>0.025</v>
      </c>
      <c r="F174" s="2"/>
      <c r="G174" s="2"/>
      <c r="H174" s="2"/>
      <c r="I174" s="2"/>
      <c r="J174" s="18"/>
    </row>
    <row r="175" spans="1:10" ht="15">
      <c r="A175" s="2" t="s">
        <v>398</v>
      </c>
      <c r="B175" s="2"/>
      <c r="C175" s="2"/>
      <c r="D175" s="2"/>
      <c r="E175" s="343">
        <v>1000</v>
      </c>
      <c r="F175" s="2"/>
      <c r="G175" s="2"/>
      <c r="H175" s="2"/>
      <c r="I175" s="18"/>
      <c r="J175" s="18"/>
    </row>
    <row r="176" spans="1:10" ht="15">
      <c r="A176" s="2" t="s">
        <v>451</v>
      </c>
      <c r="B176" s="2"/>
      <c r="C176" s="2"/>
      <c r="D176" s="2"/>
      <c r="E176" s="342">
        <v>30</v>
      </c>
      <c r="F176" s="2"/>
      <c r="G176" s="2"/>
      <c r="H176" s="2"/>
      <c r="I176" s="18"/>
      <c r="J176" s="18"/>
    </row>
    <row r="177" spans="1:10" ht="15">
      <c r="A177" s="2" t="s">
        <v>373</v>
      </c>
      <c r="B177" s="2"/>
      <c r="C177" s="2"/>
      <c r="D177" s="2"/>
      <c r="E177" s="347">
        <v>0.0025</v>
      </c>
      <c r="F177" s="2"/>
      <c r="G177" s="2"/>
      <c r="H177" s="2"/>
      <c r="I177" s="2"/>
      <c r="J177" s="2"/>
    </row>
    <row r="178" spans="1:10" ht="15">
      <c r="A178" s="2" t="s">
        <v>390</v>
      </c>
      <c r="B178" s="2"/>
      <c r="C178" s="2"/>
      <c r="D178" s="2"/>
      <c r="E178" s="130">
        <v>15</v>
      </c>
      <c r="F178" s="2"/>
      <c r="G178" s="2"/>
      <c r="H178" s="2"/>
      <c r="I178" s="2"/>
      <c r="J178" s="2"/>
    </row>
    <row r="179" spans="1:10" ht="15">
      <c r="A179" s="2" t="s">
        <v>452</v>
      </c>
      <c r="B179" s="2"/>
      <c r="C179" s="2"/>
      <c r="D179" s="2"/>
      <c r="E179" s="344" t="s">
        <v>392</v>
      </c>
      <c r="F179" s="310">
        <f>IF(OR(E179="yes",E179="y"),1,0)</f>
        <v>1</v>
      </c>
      <c r="G179" s="2"/>
      <c r="H179" s="18"/>
      <c r="I179" s="2"/>
      <c r="J179" s="18"/>
    </row>
    <row r="180" spans="1:10" ht="15">
      <c r="A180" s="2" t="s">
        <v>372</v>
      </c>
      <c r="B180" s="2"/>
      <c r="C180" s="2"/>
      <c r="D180" s="2"/>
      <c r="E180" s="341">
        <v>50</v>
      </c>
      <c r="F180" s="2"/>
      <c r="G180" s="2"/>
      <c r="H180" s="18"/>
      <c r="I180" s="323"/>
      <c r="J180" s="18"/>
    </row>
    <row r="181" spans="1:10" ht="15">
      <c r="A181" s="2" t="s">
        <v>359</v>
      </c>
      <c r="B181" s="2"/>
      <c r="C181" s="2"/>
      <c r="D181" s="2"/>
      <c r="E181" s="341">
        <v>8</v>
      </c>
      <c r="F181" s="2"/>
      <c r="G181" s="2"/>
      <c r="H181" s="18"/>
      <c r="I181" s="18"/>
      <c r="J181" s="18"/>
    </row>
    <row r="182" spans="1:10" ht="15">
      <c r="A182" s="2" t="s">
        <v>376</v>
      </c>
      <c r="B182" s="2"/>
      <c r="C182" s="2"/>
      <c r="D182" s="2"/>
      <c r="E182" s="342">
        <v>2</v>
      </c>
      <c r="F182" s="2"/>
      <c r="G182" s="2"/>
      <c r="H182" s="18"/>
      <c r="I182" s="18"/>
      <c r="J182" s="18"/>
    </row>
    <row r="183" spans="1:10" ht="15">
      <c r="A183" s="2" t="s">
        <v>377</v>
      </c>
      <c r="B183" s="2"/>
      <c r="C183" s="2"/>
      <c r="D183" s="2"/>
      <c r="E183" s="342">
        <v>5</v>
      </c>
      <c r="F183" s="2"/>
      <c r="G183" s="2"/>
      <c r="H183" s="18"/>
      <c r="I183" s="18"/>
      <c r="J183" s="18"/>
    </row>
    <row r="184" spans="1:10" ht="15">
      <c r="A184" s="2" t="s">
        <v>162</v>
      </c>
      <c r="B184" s="2"/>
      <c r="C184" s="2"/>
      <c r="D184" s="2"/>
      <c r="E184" s="325">
        <f>E165*E160+20</f>
        <v>84</v>
      </c>
      <c r="F184" s="18"/>
      <c r="G184" s="18"/>
      <c r="H184" s="18"/>
      <c r="I184" s="18"/>
      <c r="J184" s="18"/>
    </row>
    <row r="185" spans="1:10" ht="15">
      <c r="A185" s="2" t="s">
        <v>160</v>
      </c>
      <c r="B185" s="2"/>
      <c r="C185" s="2"/>
      <c r="D185" s="2"/>
      <c r="E185" s="325">
        <f>IF(E168&gt;0,E168,(IF(E169&gt;0,E169,"ERROR:Wall Length=0")))</f>
        <v>106</v>
      </c>
      <c r="F185" s="18"/>
      <c r="G185" s="2"/>
      <c r="H185" s="18"/>
      <c r="I185" s="2"/>
      <c r="J185" s="2"/>
    </row>
    <row r="186" spans="1:10" ht="15">
      <c r="A186" s="2" t="s">
        <v>165</v>
      </c>
      <c r="B186" s="2"/>
      <c r="C186" s="2"/>
      <c r="D186" s="2"/>
      <c r="E186" s="125">
        <f>(E185+E173+10)*(E184+10)</f>
        <v>13724</v>
      </c>
      <c r="F186" s="2"/>
      <c r="G186" s="18"/>
      <c r="H186" s="2"/>
      <c r="I186" s="2"/>
      <c r="J186" s="2"/>
    </row>
    <row r="187" spans="1:10" ht="15">
      <c r="A187" s="18" t="s">
        <v>166</v>
      </c>
      <c r="B187" s="18"/>
      <c r="C187" s="18"/>
      <c r="D187" s="18"/>
      <c r="E187" s="127" t="s">
        <v>374</v>
      </c>
      <c r="F187" s="18"/>
      <c r="G187" s="18"/>
      <c r="H187" s="2"/>
      <c r="I187" s="2"/>
      <c r="J187" s="2"/>
    </row>
    <row r="188" spans="1:10" ht="15">
      <c r="A188" s="338" t="s">
        <v>12</v>
      </c>
      <c r="B188" s="338" t="s">
        <v>12</v>
      </c>
      <c r="C188" s="338" t="s">
        <v>12</v>
      </c>
      <c r="D188" s="338" t="s">
        <v>12</v>
      </c>
      <c r="E188" s="128" t="s">
        <v>12</v>
      </c>
      <c r="F188" s="18"/>
      <c r="G188" s="18"/>
      <c r="H188" s="2"/>
      <c r="I188" s="2"/>
      <c r="J188" s="2"/>
    </row>
    <row r="189" spans="1:10" ht="15">
      <c r="A189" s="18" t="s">
        <v>168</v>
      </c>
      <c r="B189" s="18"/>
      <c r="C189" s="18"/>
      <c r="D189" s="2"/>
      <c r="E189" s="129">
        <f>E163*E186</f>
        <v>4803.4</v>
      </c>
      <c r="F189" s="18"/>
      <c r="G189" s="18"/>
      <c r="H189" s="2"/>
      <c r="I189" s="2"/>
      <c r="J189" s="2"/>
    </row>
    <row r="190" spans="1:10" ht="15">
      <c r="A190" s="18" t="s">
        <v>169</v>
      </c>
      <c r="B190" s="18"/>
      <c r="C190" s="18"/>
      <c r="D190" s="2"/>
      <c r="E190" s="129">
        <f>(E160*E172*E185+E173*E184)*E162</f>
        <v>10776</v>
      </c>
      <c r="F190" s="18"/>
      <c r="G190" s="18"/>
      <c r="H190" s="2"/>
      <c r="I190" s="2"/>
      <c r="J190" s="2"/>
    </row>
    <row r="191" spans="1:10" ht="15">
      <c r="A191" s="18" t="s">
        <v>170</v>
      </c>
      <c r="B191" s="18"/>
      <c r="C191" s="18"/>
      <c r="D191" s="2"/>
      <c r="E191" s="129">
        <f>(E167*E169*E171)</f>
        <v>14840</v>
      </c>
      <c r="F191" s="18"/>
      <c r="G191" s="18"/>
      <c r="H191" s="2"/>
      <c r="I191" s="2"/>
      <c r="J191" s="2"/>
    </row>
    <row r="192" spans="1:10" ht="15">
      <c r="A192" s="18" t="s">
        <v>171</v>
      </c>
      <c r="B192" s="18"/>
      <c r="C192" s="18"/>
      <c r="D192" s="2"/>
      <c r="E192" s="129">
        <f>(E166*E168*E170)</f>
        <v>16960</v>
      </c>
      <c r="F192" s="2"/>
      <c r="G192" s="2"/>
      <c r="H192" s="2"/>
      <c r="I192" s="2"/>
      <c r="J192" s="2"/>
    </row>
    <row r="193" spans="1:10" ht="15">
      <c r="A193" s="18" t="s">
        <v>402</v>
      </c>
      <c r="B193" s="2"/>
      <c r="C193" s="2"/>
      <c r="D193" s="2"/>
      <c r="E193" s="339">
        <f>+E175</f>
        <v>1000</v>
      </c>
      <c r="F193" s="2"/>
      <c r="G193" s="2"/>
      <c r="H193" s="2"/>
      <c r="I193" s="2"/>
      <c r="J193" s="2"/>
    </row>
    <row r="194" spans="1:10" ht="15">
      <c r="A194" s="338" t="s">
        <v>133</v>
      </c>
      <c r="B194" s="338" t="s">
        <v>133</v>
      </c>
      <c r="C194" s="338" t="s">
        <v>133</v>
      </c>
      <c r="D194" s="338" t="s">
        <v>133</v>
      </c>
      <c r="E194" s="128" t="s">
        <v>133</v>
      </c>
      <c r="F194" s="18"/>
      <c r="G194" s="18"/>
      <c r="H194" s="2"/>
      <c r="I194" s="2"/>
      <c r="J194" s="2"/>
    </row>
    <row r="195" spans="1:10" ht="15">
      <c r="A195" s="18" t="s">
        <v>349</v>
      </c>
      <c r="B195" s="18"/>
      <c r="C195" s="18"/>
      <c r="D195" s="2"/>
      <c r="E195" s="126">
        <f>SUM(E189:E193)</f>
        <v>48379.4</v>
      </c>
      <c r="F195" s="171" t="s">
        <v>119</v>
      </c>
      <c r="G195" s="323" t="s">
        <v>492</v>
      </c>
      <c r="H195" s="2"/>
      <c r="I195" s="2"/>
      <c r="J195" s="2"/>
    </row>
    <row r="196" spans="1:10" ht="1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>
      <c r="A197" s="2" t="s">
        <v>371</v>
      </c>
      <c r="B197" s="2"/>
      <c r="C197" s="2"/>
      <c r="D197" s="2"/>
      <c r="E197" s="125">
        <f>E181*88</f>
        <v>704</v>
      </c>
      <c r="F197" s="2"/>
      <c r="G197" s="2"/>
      <c r="H197" s="2"/>
      <c r="I197" s="2"/>
      <c r="J197" s="2"/>
    </row>
    <row r="198" spans="1:10" ht="15">
      <c r="A198" s="2" t="s">
        <v>361</v>
      </c>
      <c r="B198" s="2"/>
      <c r="C198" s="2"/>
      <c r="D198" s="2"/>
      <c r="E198" s="125">
        <f>IF(E180&gt;25,E180-25,0)</f>
        <v>25</v>
      </c>
      <c r="F198" s="2"/>
      <c r="G198" s="2"/>
      <c r="H198" s="2"/>
      <c r="I198" s="2"/>
      <c r="J198" s="2"/>
    </row>
    <row r="199" spans="1:10" ht="15">
      <c r="A199" s="2" t="s">
        <v>362</v>
      </c>
      <c r="B199" s="2"/>
      <c r="C199" s="2"/>
      <c r="D199" s="2"/>
      <c r="E199" s="311">
        <f>2*E198/E197</f>
        <v>0.07102272727272728</v>
      </c>
      <c r="F199" s="2"/>
      <c r="G199" s="2"/>
      <c r="H199" s="2"/>
      <c r="I199" s="2"/>
      <c r="J199" s="2"/>
    </row>
    <row r="200" spans="1:10" ht="15">
      <c r="A200" s="2" t="s">
        <v>363</v>
      </c>
      <c r="B200" s="2"/>
      <c r="C200" s="2"/>
      <c r="D200" s="2"/>
      <c r="E200" s="312">
        <f>60/(2*0.8+E199)</f>
        <v>35.906154369262154</v>
      </c>
      <c r="F200" s="2"/>
      <c r="G200" s="2"/>
      <c r="H200" s="2"/>
      <c r="I200" s="2"/>
      <c r="J200" s="2"/>
    </row>
    <row r="201" spans="1:10" ht="15">
      <c r="A201" s="2" t="s">
        <v>364</v>
      </c>
      <c r="B201" s="2"/>
      <c r="C201" s="2"/>
      <c r="D201" s="2"/>
      <c r="E201" s="312">
        <f>E200*E182*27*E183/2000</f>
        <v>4.8473308398503905</v>
      </c>
      <c r="F201" s="2"/>
      <c r="G201" s="2"/>
      <c r="H201" s="2"/>
      <c r="I201" s="2"/>
      <c r="J201" s="2"/>
    </row>
    <row r="202" spans="1:10" ht="15">
      <c r="A202" s="2" t="s">
        <v>370</v>
      </c>
      <c r="B202" s="2"/>
      <c r="C202" s="2"/>
      <c r="D202" s="2"/>
      <c r="E202" s="340">
        <f>1.1*E174*E185*E165*E160</f>
        <v>186.56000000000003</v>
      </c>
      <c r="F202" s="323" t="s">
        <v>119</v>
      </c>
      <c r="G202" s="323" t="s">
        <v>493</v>
      </c>
      <c r="H202" s="2"/>
      <c r="I202" s="2"/>
      <c r="J202" s="2"/>
    </row>
    <row r="203" spans="1:10" ht="15">
      <c r="A203" s="2" t="s">
        <v>369</v>
      </c>
      <c r="B203" s="2"/>
      <c r="C203" s="2"/>
      <c r="D203" s="2"/>
      <c r="E203" s="340">
        <f>Inputs!B14/E176</f>
        <v>13.333333333333334</v>
      </c>
      <c r="F203" s="323" t="s">
        <v>119</v>
      </c>
      <c r="G203" s="323" t="s">
        <v>494</v>
      </c>
      <c r="H203" s="2"/>
      <c r="I203" s="2"/>
      <c r="J203" s="2"/>
    </row>
    <row r="204" spans="1:10" ht="15">
      <c r="A204" s="2" t="s">
        <v>368</v>
      </c>
      <c r="B204" s="2"/>
      <c r="C204" s="2"/>
      <c r="D204" s="2"/>
      <c r="E204" s="340">
        <f>(1.1*E177*E185*E165*E160)+(IF(F179=0,1,0)*E178*Inputs!B16/60)</f>
        <v>18.656000000000002</v>
      </c>
      <c r="F204" s="323" t="s">
        <v>119</v>
      </c>
      <c r="G204" s="323" t="s">
        <v>495</v>
      </c>
      <c r="H204" s="2"/>
      <c r="I204" s="2"/>
      <c r="J204" s="2"/>
    </row>
    <row r="205" spans="1:10" ht="15">
      <c r="A205" s="2" t="s">
        <v>367</v>
      </c>
      <c r="B205" s="2"/>
      <c r="C205" s="2"/>
      <c r="D205" s="2"/>
      <c r="E205" s="340">
        <f>(Inputs!B14/E201)+(+F179*E178*Inputs!B16/60)</f>
        <v>172.5196408529742</v>
      </c>
      <c r="F205" s="323" t="s">
        <v>119</v>
      </c>
      <c r="G205" s="323" t="s">
        <v>375</v>
      </c>
      <c r="H205" s="2"/>
      <c r="I205" s="2"/>
      <c r="J205" s="2"/>
    </row>
    <row r="206" spans="1:10" ht="1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>
      <c r="A208" s="2"/>
      <c r="B208" s="2"/>
      <c r="C208" s="2"/>
      <c r="D208" s="2"/>
      <c r="E208" s="136"/>
      <c r="F208" s="2"/>
      <c r="G208" s="2"/>
      <c r="H208" s="2"/>
      <c r="I208" s="2"/>
      <c r="J208" s="2"/>
    </row>
    <row r="209" spans="1:10" ht="15">
      <c r="A209" s="198"/>
      <c r="B209" s="2"/>
      <c r="C209" s="2"/>
      <c r="D209" s="2"/>
      <c r="E209" s="137"/>
      <c r="F209" s="2"/>
      <c r="G209" s="2"/>
      <c r="H209" s="2"/>
      <c r="I209" s="2"/>
      <c r="J209" s="2"/>
    </row>
    <row r="210" spans="1:10" ht="15">
      <c r="A210" s="2" t="s">
        <v>498</v>
      </c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>
      <c r="A211" s="2"/>
      <c r="B211" s="2"/>
      <c r="C211" s="2"/>
      <c r="D211" s="2"/>
      <c r="E211" s="2"/>
      <c r="F211" s="2"/>
      <c r="G211" s="2"/>
      <c r="H211" s="2"/>
      <c r="I211" s="2"/>
      <c r="J211" s="2"/>
    </row>
  </sheetData>
  <sheetProtection sheet="1" objects="1" scenarios="1"/>
  <printOptions/>
  <pageMargins left="0.75" right="0.75" top="1" bottom="1" header="0.5" footer="0.5"/>
  <pageSetup horizontalDpi="300" verticalDpi="3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transitionEvaluation="1"/>
  <dimension ref="A1:T71"/>
  <sheetViews>
    <sheetView showGridLines="0" zoomScale="75" zoomScaleNormal="75" zoomScalePageLayoutView="0" workbookViewId="0" topLeftCell="A37">
      <selection activeCell="F69" sqref="F69"/>
    </sheetView>
  </sheetViews>
  <sheetFormatPr defaultColWidth="8.6640625" defaultRowHeight="15.75"/>
  <cols>
    <col min="1" max="1" width="8.6640625" style="0" customWidth="1"/>
    <col min="2" max="6" width="12.6640625" style="0" customWidth="1"/>
    <col min="7" max="8" width="8.6640625" style="0" customWidth="1"/>
    <col min="9" max="9" width="26.6640625" style="0" customWidth="1"/>
    <col min="10" max="10" width="12.6640625" style="0" customWidth="1"/>
  </cols>
  <sheetData>
    <row r="1" spans="1:20" ht="19.5">
      <c r="A1" s="348" t="s">
        <v>172</v>
      </c>
      <c r="B1" s="5"/>
      <c r="C1" s="3"/>
      <c r="D1" s="111" t="s">
        <v>284</v>
      </c>
      <c r="E1" s="108"/>
      <c r="F1" s="108"/>
      <c r="G1" s="175"/>
      <c r="H1" s="30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"/>
      <c r="B2" s="5" t="s">
        <v>173</v>
      </c>
      <c r="C2" s="3"/>
      <c r="D2" s="112" t="s">
        <v>285</v>
      </c>
      <c r="E2" s="113"/>
      <c r="F2" s="113"/>
      <c r="G2" s="177"/>
      <c r="H2" s="19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thickBot="1">
      <c r="A3" s="2" t="s">
        <v>174</v>
      </c>
      <c r="B3" s="5"/>
      <c r="C3" s="3"/>
      <c r="D3" s="109"/>
      <c r="E3" s="110"/>
      <c r="F3" s="110"/>
      <c r="G3" s="189"/>
      <c r="H3" s="30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2" t="s">
        <v>175</v>
      </c>
      <c r="B4" s="5"/>
      <c r="C4" s="3"/>
      <c r="D4" s="3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>
      <c r="A5" s="2" t="s">
        <v>176</v>
      </c>
      <c r="B5" s="5"/>
      <c r="C5" s="3"/>
      <c r="D5" s="3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>
      <c r="A6" s="2" t="s">
        <v>5</v>
      </c>
      <c r="B6" s="5"/>
      <c r="C6" s="3"/>
      <c r="D6" s="3"/>
      <c r="E6" s="6"/>
      <c r="F6" s="6"/>
      <c r="G6" s="2"/>
      <c r="H6" s="2"/>
      <c r="I6" s="2" t="s">
        <v>177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>
      <c r="A7" s="2" t="s">
        <v>178</v>
      </c>
      <c r="B7" s="5"/>
      <c r="C7" s="3"/>
      <c r="D7" s="3"/>
      <c r="E7" s="6"/>
      <c r="F7" s="6"/>
      <c r="G7" s="2"/>
      <c r="H7" s="2"/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8" t="s">
        <v>12</v>
      </c>
      <c r="P7" s="8" t="s">
        <v>12</v>
      </c>
      <c r="Q7" s="8" t="s">
        <v>12</v>
      </c>
      <c r="R7" s="8" t="s">
        <v>12</v>
      </c>
      <c r="S7" s="8" t="s">
        <v>12</v>
      </c>
      <c r="T7" s="8" t="s">
        <v>12</v>
      </c>
    </row>
    <row r="8" spans="1:20" ht="15">
      <c r="A8" s="2" t="s">
        <v>179</v>
      </c>
      <c r="B8" s="5"/>
      <c r="C8" s="3"/>
      <c r="D8" s="3"/>
      <c r="E8" s="6"/>
      <c r="F8" s="6"/>
      <c r="G8" s="2"/>
      <c r="H8" s="2"/>
      <c r="I8" s="2"/>
      <c r="J8" s="2"/>
      <c r="K8" s="2"/>
      <c r="L8" s="9" t="s">
        <v>180</v>
      </c>
      <c r="M8" s="9" t="s">
        <v>181</v>
      </c>
      <c r="N8" s="9" t="s">
        <v>182</v>
      </c>
      <c r="O8" s="9" t="s">
        <v>183</v>
      </c>
      <c r="P8" s="9"/>
      <c r="Q8" s="9" t="s">
        <v>180</v>
      </c>
      <c r="R8" s="9" t="s">
        <v>181</v>
      </c>
      <c r="S8" s="9" t="s">
        <v>182</v>
      </c>
      <c r="T8" s="9" t="s">
        <v>183</v>
      </c>
    </row>
    <row r="9" spans="1:20" ht="15">
      <c r="A9" s="2" t="s">
        <v>184</v>
      </c>
      <c r="B9" s="5"/>
      <c r="C9" s="3"/>
      <c r="D9" s="3"/>
      <c r="E9" s="6"/>
      <c r="F9" s="6"/>
      <c r="G9" s="2"/>
      <c r="H9" s="2"/>
      <c r="I9" s="2"/>
      <c r="J9" s="9" t="s">
        <v>127</v>
      </c>
      <c r="K9" s="2"/>
      <c r="L9" s="9" t="s">
        <v>185</v>
      </c>
      <c r="M9" s="9" t="s">
        <v>185</v>
      </c>
      <c r="N9" s="9" t="s">
        <v>185</v>
      </c>
      <c r="O9" s="9" t="s">
        <v>185</v>
      </c>
      <c r="P9" s="9"/>
      <c r="Q9" s="9" t="s">
        <v>185</v>
      </c>
      <c r="R9" s="9" t="s">
        <v>185</v>
      </c>
      <c r="S9" s="9" t="s">
        <v>185</v>
      </c>
      <c r="T9" s="9" t="s">
        <v>185</v>
      </c>
    </row>
    <row r="10" spans="1:20" ht="15">
      <c r="A10" s="2" t="s">
        <v>186</v>
      </c>
      <c r="B10" s="5"/>
      <c r="C10" s="3"/>
      <c r="D10" s="3"/>
      <c r="E10" s="6"/>
      <c r="F10" s="6"/>
      <c r="G10" s="2"/>
      <c r="H10" s="2"/>
      <c r="I10" s="2"/>
      <c r="J10" s="9" t="s">
        <v>187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">
      <c r="A11" s="2"/>
      <c r="B11" s="5"/>
      <c r="C11" s="3"/>
      <c r="D11" s="3"/>
      <c r="E11" s="6"/>
      <c r="F11" s="6"/>
      <c r="G11" s="2"/>
      <c r="H11" s="2"/>
      <c r="I11" s="2" t="s">
        <v>188</v>
      </c>
      <c r="J11" s="9" t="s">
        <v>188</v>
      </c>
      <c r="K11" s="9" t="s">
        <v>18</v>
      </c>
      <c r="L11" s="2" t="s">
        <v>189</v>
      </c>
      <c r="M11" s="2"/>
      <c r="N11" s="2"/>
      <c r="O11" s="2"/>
      <c r="P11" s="2"/>
      <c r="Q11" s="2" t="s">
        <v>190</v>
      </c>
      <c r="R11" s="2"/>
      <c r="S11" s="2"/>
      <c r="T11" s="2"/>
    </row>
    <row r="12" spans="1:20" ht="15">
      <c r="A12" s="2"/>
      <c r="B12" s="5"/>
      <c r="C12" s="3"/>
      <c r="D12" s="3"/>
      <c r="E12" s="6"/>
      <c r="F12" s="6"/>
      <c r="G12" s="2"/>
      <c r="H12" s="2"/>
      <c r="I12" s="8" t="s">
        <v>12</v>
      </c>
      <c r="J12" s="8" t="s">
        <v>12</v>
      </c>
      <c r="K12" s="8" t="s">
        <v>12</v>
      </c>
      <c r="L12" s="8" t="s">
        <v>12</v>
      </c>
      <c r="M12" s="8" t="s">
        <v>12</v>
      </c>
      <c r="N12" s="8" t="s">
        <v>12</v>
      </c>
      <c r="O12" s="8" t="s">
        <v>12</v>
      </c>
      <c r="P12" s="8" t="s">
        <v>12</v>
      </c>
      <c r="Q12" s="8" t="s">
        <v>12</v>
      </c>
      <c r="R12" s="8" t="s">
        <v>12</v>
      </c>
      <c r="S12" s="8" t="s">
        <v>12</v>
      </c>
      <c r="T12" s="8" t="s">
        <v>12</v>
      </c>
    </row>
    <row r="13" spans="1:20" ht="15">
      <c r="A13" s="2"/>
      <c r="B13" s="5"/>
      <c r="C13" s="3"/>
      <c r="D13" s="3"/>
      <c r="E13" s="6"/>
      <c r="F13" s="6"/>
      <c r="G13" s="2"/>
      <c r="H13" s="2"/>
      <c r="I13" s="2" t="s">
        <v>191</v>
      </c>
      <c r="J13" s="2"/>
      <c r="K13" s="21">
        <f>SUM(J14:J17)</f>
        <v>68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ht="15">
      <c r="A14" s="2"/>
      <c r="B14" s="5"/>
      <c r="C14" s="3"/>
      <c r="D14" s="3"/>
      <c r="E14" s="6"/>
      <c r="F14" s="6"/>
      <c r="G14" s="2"/>
      <c r="H14" s="2"/>
      <c r="I14" s="9" t="s">
        <v>192</v>
      </c>
      <c r="J14" s="103">
        <v>8</v>
      </c>
      <c r="K14" s="21"/>
      <c r="L14" s="103">
        <v>0</v>
      </c>
      <c r="M14" s="103">
        <v>0</v>
      </c>
      <c r="N14" s="103">
        <v>20</v>
      </c>
      <c r="O14" s="103">
        <v>0</v>
      </c>
      <c r="P14" s="2"/>
      <c r="Q14" s="21">
        <f>L14*$J$14</f>
        <v>0</v>
      </c>
      <c r="R14" s="21">
        <f>M14*$J$14</f>
        <v>0</v>
      </c>
      <c r="S14" s="21">
        <f>N14*$J$14</f>
        <v>160</v>
      </c>
      <c r="T14" s="21">
        <f>O14*$J$14</f>
        <v>0</v>
      </c>
    </row>
    <row r="15" spans="1:20" ht="17.25">
      <c r="A15" s="349" t="s">
        <v>457</v>
      </c>
      <c r="B15" s="280"/>
      <c r="C15" s="281"/>
      <c r="D15" s="281"/>
      <c r="E15" s="282"/>
      <c r="F15" s="282"/>
      <c r="G15" s="350"/>
      <c r="H15" s="2"/>
      <c r="I15" s="9" t="s">
        <v>193</v>
      </c>
      <c r="J15" s="103">
        <v>22</v>
      </c>
      <c r="K15" s="21"/>
      <c r="L15" s="103">
        <v>0</v>
      </c>
      <c r="M15" s="103">
        <v>10</v>
      </c>
      <c r="N15" s="103">
        <v>15</v>
      </c>
      <c r="O15" s="103">
        <v>0</v>
      </c>
      <c r="P15" s="2"/>
      <c r="Q15" s="21">
        <f>L15*$J$15</f>
        <v>0</v>
      </c>
      <c r="R15" s="21">
        <f>M15*$J$15</f>
        <v>220</v>
      </c>
      <c r="S15" s="21">
        <f>N15*$J$15</f>
        <v>330</v>
      </c>
      <c r="T15" s="21">
        <f>O15*$J$15</f>
        <v>0</v>
      </c>
    </row>
    <row r="16" spans="1:20" ht="15">
      <c r="A16" s="8" t="s">
        <v>12</v>
      </c>
      <c r="B16" s="14" t="s">
        <v>12</v>
      </c>
      <c r="C16" s="12" t="s">
        <v>12</v>
      </c>
      <c r="D16" s="12" t="s">
        <v>12</v>
      </c>
      <c r="E16" s="15" t="s">
        <v>12</v>
      </c>
      <c r="F16" s="15" t="s">
        <v>12</v>
      </c>
      <c r="G16" s="8" t="s">
        <v>12</v>
      </c>
      <c r="H16" s="2"/>
      <c r="I16" s="9" t="s">
        <v>194</v>
      </c>
      <c r="J16" s="103">
        <v>22</v>
      </c>
      <c r="K16" s="21"/>
      <c r="L16" s="103">
        <v>0</v>
      </c>
      <c r="M16" s="103">
        <v>10</v>
      </c>
      <c r="N16" s="103">
        <v>15</v>
      </c>
      <c r="O16" s="103">
        <v>0</v>
      </c>
      <c r="P16" s="2"/>
      <c r="Q16" s="21">
        <f>L16*$J$16</f>
        <v>0</v>
      </c>
      <c r="R16" s="21">
        <f>M16*$J$16</f>
        <v>220</v>
      </c>
      <c r="S16" s="21">
        <f>N16*$J$16</f>
        <v>330</v>
      </c>
      <c r="T16" s="21">
        <f>O16*$J$16</f>
        <v>0</v>
      </c>
    </row>
    <row r="17" spans="1:20" ht="15">
      <c r="A17" s="2" t="s">
        <v>195</v>
      </c>
      <c r="B17" s="5"/>
      <c r="C17" s="3"/>
      <c r="D17" s="3"/>
      <c r="E17" s="101" t="s">
        <v>464</v>
      </c>
      <c r="F17" s="6"/>
      <c r="G17" s="2"/>
      <c r="H17" s="2"/>
      <c r="I17" s="9" t="s">
        <v>196</v>
      </c>
      <c r="J17" s="103">
        <v>16</v>
      </c>
      <c r="K17" s="21"/>
      <c r="L17" s="103">
        <v>0</v>
      </c>
      <c r="M17" s="103">
        <v>20</v>
      </c>
      <c r="N17" s="103">
        <v>0</v>
      </c>
      <c r="O17" s="103">
        <v>3</v>
      </c>
      <c r="P17" s="2"/>
      <c r="Q17" s="21">
        <f>L17*$J$17</f>
        <v>0</v>
      </c>
      <c r="R17" s="21">
        <f>M17*$J$17</f>
        <v>320</v>
      </c>
      <c r="S17" s="21">
        <f>N17*$J$17</f>
        <v>0</v>
      </c>
      <c r="T17" s="21">
        <f>O17*$J$17</f>
        <v>48</v>
      </c>
    </row>
    <row r="18" spans="1:20" ht="15">
      <c r="A18" s="2"/>
      <c r="B18" s="5"/>
      <c r="C18" s="3"/>
      <c r="D18" s="3"/>
      <c r="E18" s="351"/>
      <c r="F18" s="6"/>
      <c r="G18" s="2"/>
      <c r="H18" s="2"/>
      <c r="I18" s="2"/>
      <c r="J18" s="18"/>
      <c r="K18" s="21"/>
      <c r="L18" s="18"/>
      <c r="M18" s="18"/>
      <c r="N18" s="18"/>
      <c r="O18" s="18"/>
      <c r="P18" s="2"/>
      <c r="Q18" s="21"/>
      <c r="R18" s="21"/>
      <c r="S18" s="21"/>
      <c r="T18" s="21"/>
    </row>
    <row r="19" spans="1:20" ht="15">
      <c r="A19" s="2" t="s">
        <v>197</v>
      </c>
      <c r="B19" s="5"/>
      <c r="C19" s="3"/>
      <c r="D19" s="3"/>
      <c r="E19" s="102">
        <v>2200</v>
      </c>
      <c r="F19" s="6"/>
      <c r="G19" s="2"/>
      <c r="H19" s="2"/>
      <c r="I19" s="2" t="s">
        <v>198</v>
      </c>
      <c r="J19" s="103">
        <v>20</v>
      </c>
      <c r="K19" s="21">
        <f>J19</f>
        <v>20</v>
      </c>
      <c r="L19" s="103">
        <v>15</v>
      </c>
      <c r="M19" s="103">
        <v>10</v>
      </c>
      <c r="N19" s="103">
        <v>0</v>
      </c>
      <c r="O19" s="103">
        <v>3</v>
      </c>
      <c r="P19" s="2"/>
      <c r="Q19" s="21">
        <f>L19*$J$19</f>
        <v>300</v>
      </c>
      <c r="R19" s="21">
        <f>M19*$J$19</f>
        <v>200</v>
      </c>
      <c r="S19" s="21">
        <f>N19*$J$19</f>
        <v>0</v>
      </c>
      <c r="T19" s="21">
        <f>O19*$J$19</f>
        <v>60</v>
      </c>
    </row>
    <row r="20" spans="1:20" ht="15">
      <c r="A20" s="2" t="s">
        <v>199</v>
      </c>
      <c r="B20" s="5"/>
      <c r="C20" s="3"/>
      <c r="D20" s="3"/>
      <c r="E20" s="351"/>
      <c r="F20" s="6"/>
      <c r="G20" s="2"/>
      <c r="H20" s="2"/>
      <c r="I20" s="2"/>
      <c r="J20" s="18"/>
      <c r="K20" s="21"/>
      <c r="L20" s="18"/>
      <c r="M20" s="18"/>
      <c r="N20" s="18"/>
      <c r="O20" s="18"/>
      <c r="P20" s="2"/>
      <c r="Q20" s="21"/>
      <c r="R20" s="21"/>
      <c r="S20" s="21"/>
      <c r="T20" s="21"/>
    </row>
    <row r="21" spans="1:20" ht="15">
      <c r="A21" s="2"/>
      <c r="B21" s="5"/>
      <c r="C21" s="3"/>
      <c r="D21" s="3"/>
      <c r="E21" s="351"/>
      <c r="F21" s="6"/>
      <c r="G21" s="2"/>
      <c r="H21" s="2"/>
      <c r="I21" s="2" t="s">
        <v>200</v>
      </c>
      <c r="J21" s="103">
        <v>6</v>
      </c>
      <c r="K21" s="21">
        <f>J21</f>
        <v>6</v>
      </c>
      <c r="L21" s="103">
        <v>10</v>
      </c>
      <c r="M21" s="103">
        <v>5</v>
      </c>
      <c r="N21" s="103">
        <v>0</v>
      </c>
      <c r="O21" s="103">
        <v>10</v>
      </c>
      <c r="P21" s="2"/>
      <c r="Q21" s="21">
        <f>L21*$J21</f>
        <v>60</v>
      </c>
      <c r="R21" s="21">
        <f>M21*$J21</f>
        <v>30</v>
      </c>
      <c r="S21" s="21">
        <f>N21*$J21</f>
        <v>0</v>
      </c>
      <c r="T21" s="21">
        <f>O21*$J21</f>
        <v>60</v>
      </c>
    </row>
    <row r="22" spans="1:20" ht="15">
      <c r="A22" s="2" t="s">
        <v>201</v>
      </c>
      <c r="B22" s="5"/>
      <c r="C22" s="3"/>
      <c r="D22" s="3"/>
      <c r="E22" s="102">
        <v>12</v>
      </c>
      <c r="F22" s="6"/>
      <c r="G22" s="2"/>
      <c r="H22" s="2"/>
      <c r="I22" s="2"/>
      <c r="J22" s="18"/>
      <c r="K22" s="21"/>
      <c r="L22" s="317"/>
      <c r="M22" s="317"/>
      <c r="N22" s="317"/>
      <c r="O22" s="317"/>
      <c r="P22" s="2"/>
      <c r="Q22" s="21"/>
      <c r="R22" s="21"/>
      <c r="S22" s="21"/>
      <c r="T22" s="21"/>
    </row>
    <row r="23" spans="1:20" ht="15">
      <c r="A23" s="2" t="s">
        <v>202</v>
      </c>
      <c r="B23" s="5"/>
      <c r="C23" s="3"/>
      <c r="D23" s="3"/>
      <c r="E23" s="351"/>
      <c r="F23" s="6"/>
      <c r="G23" s="2"/>
      <c r="H23" s="2"/>
      <c r="I23" s="2" t="s">
        <v>203</v>
      </c>
      <c r="J23" s="103">
        <v>110</v>
      </c>
      <c r="K23" s="21">
        <f>J23</f>
        <v>110</v>
      </c>
      <c r="L23" s="103">
        <v>10</v>
      </c>
      <c r="M23" s="103">
        <v>0</v>
      </c>
      <c r="N23" s="103">
        <v>0</v>
      </c>
      <c r="O23" s="103">
        <v>15</v>
      </c>
      <c r="P23" s="2"/>
      <c r="Q23" s="21">
        <f>L23*$J$23</f>
        <v>1100</v>
      </c>
      <c r="R23" s="21">
        <f>M23*$J$23</f>
        <v>0</v>
      </c>
      <c r="S23" s="21">
        <f>N23*$J$23</f>
        <v>0</v>
      </c>
      <c r="T23" s="21">
        <f>O23*$J$23</f>
        <v>1650</v>
      </c>
    </row>
    <row r="24" spans="1:20" ht="15">
      <c r="A24" s="2"/>
      <c r="B24" s="5"/>
      <c r="C24" s="3"/>
      <c r="D24" s="3"/>
      <c r="E24" s="351"/>
      <c r="F24" s="6"/>
      <c r="G24" s="2"/>
      <c r="H24" s="2"/>
      <c r="I24" s="2"/>
      <c r="J24" s="2"/>
      <c r="K24" s="21"/>
      <c r="L24" s="352"/>
      <c r="M24" s="352"/>
      <c r="N24" s="352"/>
      <c r="O24" s="352"/>
      <c r="P24" s="2"/>
      <c r="Q24" s="21"/>
      <c r="R24" s="21"/>
      <c r="S24" s="21"/>
      <c r="T24" s="21"/>
    </row>
    <row r="25" spans="1:20" ht="15">
      <c r="A25" s="2" t="s">
        <v>204</v>
      </c>
      <c r="B25" s="5"/>
      <c r="C25" s="3"/>
      <c r="D25" s="3"/>
      <c r="E25" s="102">
        <v>3</v>
      </c>
      <c r="F25" s="6"/>
      <c r="G25" s="2"/>
      <c r="H25" s="2"/>
      <c r="I25" s="2" t="s">
        <v>205</v>
      </c>
      <c r="J25" s="2"/>
      <c r="K25" s="21">
        <f>SUM(J26:J28)</f>
        <v>226</v>
      </c>
      <c r="L25" s="352"/>
      <c r="M25" s="352"/>
      <c r="N25" s="352"/>
      <c r="O25" s="352"/>
      <c r="P25" s="2"/>
      <c r="Q25" s="21"/>
      <c r="R25" s="21"/>
      <c r="S25" s="21"/>
      <c r="T25" s="21"/>
    </row>
    <row r="26" spans="1:20" ht="15">
      <c r="A26" s="2" t="s">
        <v>206</v>
      </c>
      <c r="B26" s="5"/>
      <c r="C26" s="3"/>
      <c r="D26" s="3"/>
      <c r="E26" s="351"/>
      <c r="F26" s="6"/>
      <c r="G26" s="2"/>
      <c r="H26" s="2"/>
      <c r="I26" s="9" t="s">
        <v>207</v>
      </c>
      <c r="J26" s="103">
        <v>90</v>
      </c>
      <c r="K26" s="21"/>
      <c r="L26" s="103">
        <v>10</v>
      </c>
      <c r="M26" s="103">
        <v>0</v>
      </c>
      <c r="N26" s="103">
        <v>0</v>
      </c>
      <c r="O26" s="103">
        <v>15</v>
      </c>
      <c r="P26" s="2"/>
      <c r="Q26" s="21">
        <f>L26*$J$26</f>
        <v>900</v>
      </c>
      <c r="R26" s="21">
        <f>M26*$J$26</f>
        <v>0</v>
      </c>
      <c r="S26" s="21">
        <f>N26*$J$26</f>
        <v>0</v>
      </c>
      <c r="T26" s="21">
        <f>O26*$J$26</f>
        <v>1350</v>
      </c>
    </row>
    <row r="27" spans="1:20" ht="15">
      <c r="A27" s="2"/>
      <c r="B27" s="5"/>
      <c r="C27" s="3"/>
      <c r="D27" s="3"/>
      <c r="E27" s="351"/>
      <c r="F27" s="6"/>
      <c r="G27" s="2"/>
      <c r="H27" s="2"/>
      <c r="I27" s="9" t="s">
        <v>208</v>
      </c>
      <c r="J27" s="103">
        <v>68</v>
      </c>
      <c r="K27" s="21"/>
      <c r="L27" s="103">
        <v>15</v>
      </c>
      <c r="M27" s="103">
        <v>5</v>
      </c>
      <c r="N27" s="103">
        <v>0</v>
      </c>
      <c r="O27" s="103">
        <v>10</v>
      </c>
      <c r="P27" s="2"/>
      <c r="Q27" s="21">
        <f>L27*$J$27</f>
        <v>1020</v>
      </c>
      <c r="R27" s="21">
        <f>M27*$J$27</f>
        <v>340</v>
      </c>
      <c r="S27" s="21">
        <f>N27*$J$27</f>
        <v>0</v>
      </c>
      <c r="T27" s="21">
        <f>O27*$J$27</f>
        <v>680</v>
      </c>
    </row>
    <row r="28" spans="1:20" ht="15">
      <c r="A28" s="2" t="s">
        <v>209</v>
      </c>
      <c r="B28" s="5"/>
      <c r="C28" s="3"/>
      <c r="D28" s="3"/>
      <c r="E28" s="102">
        <v>40</v>
      </c>
      <c r="F28" s="6"/>
      <c r="G28" s="2"/>
      <c r="H28" s="2"/>
      <c r="I28" s="9" t="s">
        <v>210</v>
      </c>
      <c r="J28" s="103">
        <v>68</v>
      </c>
      <c r="K28" s="21"/>
      <c r="L28" s="103">
        <v>10</v>
      </c>
      <c r="M28" s="103">
        <v>10</v>
      </c>
      <c r="N28" s="103">
        <v>0</v>
      </c>
      <c r="O28" s="103">
        <v>10</v>
      </c>
      <c r="P28" s="2"/>
      <c r="Q28" s="21">
        <f>L28*$J$28</f>
        <v>680</v>
      </c>
      <c r="R28" s="21">
        <f>M28*$J$28</f>
        <v>680</v>
      </c>
      <c r="S28" s="21">
        <f>N28*$J$28</f>
        <v>0</v>
      </c>
      <c r="T28" s="21">
        <f>O28*$J$28</f>
        <v>680</v>
      </c>
    </row>
    <row r="29" spans="1:20" ht="15">
      <c r="A29" s="2"/>
      <c r="B29" s="5"/>
      <c r="C29" s="3"/>
      <c r="D29" s="3"/>
      <c r="E29" s="351"/>
      <c r="F29" s="6"/>
      <c r="G29" s="2"/>
      <c r="H29" s="2"/>
      <c r="I29" s="2"/>
      <c r="J29" s="2"/>
      <c r="K29" s="21"/>
      <c r="L29" s="352"/>
      <c r="M29" s="352"/>
      <c r="N29" s="352"/>
      <c r="O29" s="352"/>
      <c r="P29" s="2"/>
      <c r="Q29" s="21"/>
      <c r="R29" s="21"/>
      <c r="S29" s="21"/>
      <c r="T29" s="21"/>
    </row>
    <row r="30" spans="1:20" ht="15">
      <c r="A30" s="2" t="s">
        <v>211</v>
      </c>
      <c r="B30" s="5"/>
      <c r="C30" s="3"/>
      <c r="D30" s="3"/>
      <c r="E30" s="102">
        <v>62</v>
      </c>
      <c r="F30" s="6"/>
      <c r="G30" s="2"/>
      <c r="H30" s="2"/>
      <c r="I30" s="2" t="s">
        <v>212</v>
      </c>
      <c r="J30" s="103">
        <v>10</v>
      </c>
      <c r="K30" s="21">
        <f>J30</f>
        <v>10</v>
      </c>
      <c r="L30" s="103">
        <v>25</v>
      </c>
      <c r="M30" s="103">
        <v>5</v>
      </c>
      <c r="N30" s="103">
        <v>0</v>
      </c>
      <c r="O30" s="103">
        <v>5</v>
      </c>
      <c r="P30" s="2"/>
      <c r="Q30" s="21">
        <f>L30*$J$30</f>
        <v>250</v>
      </c>
      <c r="R30" s="21">
        <f>M30*$J$30</f>
        <v>50</v>
      </c>
      <c r="S30" s="21">
        <f>N30*$J$30</f>
        <v>0</v>
      </c>
      <c r="T30" s="21">
        <f>O30*$J$30</f>
        <v>50</v>
      </c>
    </row>
    <row r="31" spans="1:20" ht="15">
      <c r="A31" s="2"/>
      <c r="B31" s="5"/>
      <c r="C31" s="3"/>
      <c r="D31" s="3"/>
      <c r="E31" s="351"/>
      <c r="F31" s="6"/>
      <c r="G31" s="2"/>
      <c r="H31" s="2"/>
      <c r="I31" s="8" t="s">
        <v>133</v>
      </c>
      <c r="J31" s="8" t="s">
        <v>133</v>
      </c>
      <c r="K31" s="8" t="s">
        <v>133</v>
      </c>
      <c r="L31" s="8" t="s">
        <v>133</v>
      </c>
      <c r="M31" s="8" t="s">
        <v>133</v>
      </c>
      <c r="N31" s="8" t="s">
        <v>133</v>
      </c>
      <c r="O31" s="8" t="s">
        <v>133</v>
      </c>
      <c r="P31" s="8" t="s">
        <v>133</v>
      </c>
      <c r="Q31" s="8" t="s">
        <v>133</v>
      </c>
      <c r="R31" s="8" t="s">
        <v>133</v>
      </c>
      <c r="S31" s="8" t="s">
        <v>133</v>
      </c>
      <c r="T31" s="8" t="s">
        <v>133</v>
      </c>
    </row>
    <row r="32" spans="1:20" ht="15">
      <c r="A32" s="2" t="s">
        <v>213</v>
      </c>
      <c r="B32" s="5"/>
      <c r="C32" s="3"/>
      <c r="D32" s="3"/>
      <c r="E32" s="102">
        <v>6</v>
      </c>
      <c r="F32" s="6"/>
      <c r="G32" s="20">
        <f>(42.63*(1-($E$28*16.02*(200+$E$30)/300000))/$E$32)</f>
        <v>3.128814640000001</v>
      </c>
      <c r="H32" s="2"/>
      <c r="I32" s="2" t="s">
        <v>214</v>
      </c>
      <c r="J32" s="2" t="s">
        <v>18</v>
      </c>
      <c r="K32" s="21">
        <f>SUM(K12:K30)</f>
        <v>440</v>
      </c>
      <c r="L32" s="2"/>
      <c r="M32" s="2"/>
      <c r="N32" s="2"/>
      <c r="O32" s="2"/>
      <c r="P32" s="2"/>
      <c r="Q32" s="2"/>
      <c r="R32" s="2"/>
      <c r="S32" s="2"/>
      <c r="T32" s="2"/>
    </row>
    <row r="33" spans="1:20" ht="15">
      <c r="A33" s="2"/>
      <c r="B33" s="5"/>
      <c r="C33" s="3"/>
      <c r="D33" s="3"/>
      <c r="E33" s="351"/>
      <c r="F33" s="6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">
      <c r="A34" s="2" t="s">
        <v>215</v>
      </c>
      <c r="B34" s="5"/>
      <c r="C34" s="3"/>
      <c r="D34" s="3"/>
      <c r="E34" s="102">
        <v>360</v>
      </c>
      <c r="F34" s="6"/>
      <c r="G34" s="2"/>
      <c r="H34" s="2"/>
      <c r="I34" s="2" t="s">
        <v>216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>
      <c r="A35" s="2"/>
      <c r="B35" s="5"/>
      <c r="C35" s="3"/>
      <c r="D35" s="3"/>
      <c r="E35" s="351"/>
      <c r="F35" s="6"/>
      <c r="G35" s="2"/>
      <c r="H35" s="2"/>
      <c r="I35" s="9" t="s">
        <v>217</v>
      </c>
      <c r="J35" s="103">
        <v>48</v>
      </c>
      <c r="K35" s="18"/>
      <c r="L35" s="103">
        <v>5</v>
      </c>
      <c r="M35" s="103">
        <v>0</v>
      </c>
      <c r="N35" s="103">
        <v>0</v>
      </c>
      <c r="O35" s="103">
        <v>2</v>
      </c>
      <c r="P35" s="2"/>
      <c r="Q35" s="21">
        <f>L35*$J$35</f>
        <v>240</v>
      </c>
      <c r="R35" s="21">
        <f>M35*$J$35</f>
        <v>0</v>
      </c>
      <c r="S35" s="21">
        <f>N35*$J$35</f>
        <v>0</v>
      </c>
      <c r="T35" s="21">
        <f>O35*$J$35</f>
        <v>96</v>
      </c>
    </row>
    <row r="36" spans="1:20" ht="15">
      <c r="A36" s="2" t="s">
        <v>218</v>
      </c>
      <c r="B36" s="5"/>
      <c r="C36" s="3"/>
      <c r="D36" s="3"/>
      <c r="E36" s="102">
        <v>150</v>
      </c>
      <c r="F36" s="6"/>
      <c r="G36" s="2"/>
      <c r="H36" s="2"/>
      <c r="I36" s="9" t="s">
        <v>219</v>
      </c>
      <c r="J36" s="103">
        <v>48</v>
      </c>
      <c r="K36" s="18"/>
      <c r="L36" s="103">
        <v>10</v>
      </c>
      <c r="M36" s="103">
        <v>0</v>
      </c>
      <c r="N36" s="103">
        <v>0</v>
      </c>
      <c r="O36" s="103">
        <v>3</v>
      </c>
      <c r="P36" s="2"/>
      <c r="Q36" s="21">
        <f>L36*$J$36</f>
        <v>480</v>
      </c>
      <c r="R36" s="21">
        <f>M36*$J$36</f>
        <v>0</v>
      </c>
      <c r="S36" s="21">
        <f>N36*$J$36</f>
        <v>0</v>
      </c>
      <c r="T36" s="21">
        <f>O36*$J$36</f>
        <v>144</v>
      </c>
    </row>
    <row r="37" spans="1:20" ht="15">
      <c r="A37" s="2" t="s">
        <v>220</v>
      </c>
      <c r="B37" s="5"/>
      <c r="C37" s="3"/>
      <c r="D37" s="3"/>
      <c r="E37" s="6"/>
      <c r="F37" s="6"/>
      <c r="G37" s="2"/>
      <c r="H37" s="2"/>
      <c r="I37" s="9" t="s">
        <v>221</v>
      </c>
      <c r="J37" s="103">
        <v>72</v>
      </c>
      <c r="K37" s="18"/>
      <c r="L37" s="103">
        <v>10</v>
      </c>
      <c r="M37" s="103">
        <v>5</v>
      </c>
      <c r="N37" s="103">
        <v>0</v>
      </c>
      <c r="O37" s="103">
        <v>4</v>
      </c>
      <c r="P37" s="2"/>
      <c r="Q37" s="21">
        <f>L37*$J$37</f>
        <v>720</v>
      </c>
      <c r="R37" s="21">
        <f>M37*$J$37</f>
        <v>360</v>
      </c>
      <c r="S37" s="21">
        <f>N37*$J$37</f>
        <v>0</v>
      </c>
      <c r="T37" s="21">
        <f>O37*$J$37</f>
        <v>288</v>
      </c>
    </row>
    <row r="38" spans="1:20" ht="15">
      <c r="A38" s="8" t="s">
        <v>12</v>
      </c>
      <c r="B38" s="8" t="s">
        <v>12</v>
      </c>
      <c r="C38" s="8" t="s">
        <v>12</v>
      </c>
      <c r="D38" s="8" t="s">
        <v>12</v>
      </c>
      <c r="E38" s="8" t="s">
        <v>12</v>
      </c>
      <c r="F38" s="8" t="s">
        <v>12</v>
      </c>
      <c r="G38" s="8" t="s">
        <v>12</v>
      </c>
      <c r="H38" s="2"/>
      <c r="I38" s="9" t="s">
        <v>222</v>
      </c>
      <c r="J38" s="103">
        <v>48</v>
      </c>
      <c r="K38" s="18"/>
      <c r="L38" s="103">
        <v>10</v>
      </c>
      <c r="M38" s="103">
        <v>10</v>
      </c>
      <c r="N38" s="103">
        <v>0</v>
      </c>
      <c r="O38" s="103">
        <v>6</v>
      </c>
      <c r="P38" s="2"/>
      <c r="Q38" s="21">
        <f>L38*$J$38</f>
        <v>480</v>
      </c>
      <c r="R38" s="21">
        <f>M38*$J$38</f>
        <v>480</v>
      </c>
      <c r="S38" s="21">
        <f>N38*$J$38</f>
        <v>0</v>
      </c>
      <c r="T38" s="21">
        <f>O38*$J$38</f>
        <v>288</v>
      </c>
    </row>
    <row r="39" spans="1:20" ht="15">
      <c r="A39" s="2"/>
      <c r="B39" s="2"/>
      <c r="C39" s="2"/>
      <c r="D39" s="2"/>
      <c r="E39" s="2"/>
      <c r="F39" s="2"/>
      <c r="G39" s="2"/>
      <c r="H39" s="2"/>
      <c r="I39" s="9" t="s">
        <v>223</v>
      </c>
      <c r="J39" s="103">
        <v>156</v>
      </c>
      <c r="K39" s="18"/>
      <c r="L39" s="103">
        <v>15</v>
      </c>
      <c r="M39" s="103">
        <v>10</v>
      </c>
      <c r="N39" s="103">
        <v>0</v>
      </c>
      <c r="O39" s="103">
        <v>10</v>
      </c>
      <c r="P39" s="2"/>
      <c r="Q39" s="21">
        <f>L39*$J$39</f>
        <v>2340</v>
      </c>
      <c r="R39" s="21">
        <f>M39*$J$39</f>
        <v>1560</v>
      </c>
      <c r="S39" s="21">
        <f>N39*$J$39</f>
        <v>0</v>
      </c>
      <c r="T39" s="21">
        <f>O39*$J$39</f>
        <v>1560</v>
      </c>
    </row>
    <row r="40" spans="1:20" ht="17.25">
      <c r="A40" s="353" t="s">
        <v>456</v>
      </c>
      <c r="B40" s="277"/>
      <c r="C40" s="278"/>
      <c r="D40" s="278"/>
      <c r="E40" s="279"/>
      <c r="F40" s="279"/>
      <c r="G40" s="354"/>
      <c r="H40" s="2"/>
      <c r="I40" s="8" t="s">
        <v>12</v>
      </c>
      <c r="J40" s="8" t="s">
        <v>12</v>
      </c>
      <c r="K40" s="8" t="s">
        <v>12</v>
      </c>
      <c r="L40" s="8" t="s">
        <v>12</v>
      </c>
      <c r="M40" s="8" t="s">
        <v>12</v>
      </c>
      <c r="N40" s="8" t="s">
        <v>12</v>
      </c>
      <c r="O40" s="8" t="s">
        <v>12</v>
      </c>
      <c r="P40" s="8" t="s">
        <v>12</v>
      </c>
      <c r="Q40" s="8" t="s">
        <v>12</v>
      </c>
      <c r="R40" s="8" t="s">
        <v>12</v>
      </c>
      <c r="S40" s="8" t="s">
        <v>12</v>
      </c>
      <c r="T40" s="8" t="s">
        <v>12</v>
      </c>
    </row>
    <row r="41" spans="1:20" ht="15">
      <c r="A41" s="8" t="s">
        <v>12</v>
      </c>
      <c r="B41" s="14" t="s">
        <v>12</v>
      </c>
      <c r="C41" s="12" t="s">
        <v>12</v>
      </c>
      <c r="D41" s="12" t="s">
        <v>12</v>
      </c>
      <c r="E41" s="15" t="s">
        <v>12</v>
      </c>
      <c r="F41" s="15" t="s">
        <v>12</v>
      </c>
      <c r="G41" s="8" t="s">
        <v>12</v>
      </c>
      <c r="H41" s="2"/>
      <c r="I41" s="2" t="s">
        <v>216</v>
      </c>
      <c r="J41" s="9" t="s">
        <v>18</v>
      </c>
      <c r="K41" s="21">
        <f>SUM(J35:J39)</f>
        <v>372</v>
      </c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9"/>
      <c r="B42" s="9" t="s">
        <v>224</v>
      </c>
      <c r="C42" s="10" t="s">
        <v>225</v>
      </c>
      <c r="D42" s="10" t="s">
        <v>226</v>
      </c>
      <c r="E42" s="16" t="s">
        <v>227</v>
      </c>
      <c r="F42" s="16" t="s">
        <v>227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9" t="s">
        <v>229</v>
      </c>
      <c r="B43" s="100" t="s">
        <v>226</v>
      </c>
      <c r="C43" s="9" t="s">
        <v>230</v>
      </c>
      <c r="D43" s="10" t="s">
        <v>231</v>
      </c>
      <c r="E43" s="16" t="s">
        <v>232</v>
      </c>
      <c r="F43" s="16" t="s">
        <v>233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9" t="s">
        <v>234</v>
      </c>
      <c r="B44" s="100" t="s">
        <v>235</v>
      </c>
      <c r="C44" s="10" t="s">
        <v>226</v>
      </c>
      <c r="D44" s="10"/>
      <c r="E44" s="16" t="s">
        <v>236</v>
      </c>
      <c r="F44" s="16" t="s">
        <v>282</v>
      </c>
      <c r="G44" s="355" t="s">
        <v>228</v>
      </c>
      <c r="H44" s="2"/>
      <c r="I44" s="2"/>
      <c r="J44" s="2"/>
      <c r="K44" s="2"/>
      <c r="L44" s="2"/>
      <c r="M44" s="2"/>
      <c r="N44" s="2"/>
      <c r="O44" s="2" t="s">
        <v>237</v>
      </c>
      <c r="P44" s="2"/>
      <c r="Q44" s="21">
        <f>SUM(Q14:Q39)</f>
        <v>8570</v>
      </c>
      <c r="R44" s="21">
        <f>SUM(R14:R39)</f>
        <v>4460</v>
      </c>
      <c r="S44" s="21">
        <f>SUM(S14:S39)</f>
        <v>820</v>
      </c>
      <c r="T44" s="21">
        <f>SUM(T14:T39)</f>
        <v>6954</v>
      </c>
    </row>
    <row r="45" spans="1:20" ht="15">
      <c r="A45" s="9"/>
      <c r="B45" s="100"/>
      <c r="C45" s="9" t="s">
        <v>238</v>
      </c>
      <c r="D45" s="10" t="s">
        <v>239</v>
      </c>
      <c r="E45" s="16" t="s">
        <v>240</v>
      </c>
      <c r="F45" s="16" t="s">
        <v>241</v>
      </c>
      <c r="G45" s="54" t="s">
        <v>283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9" t="s">
        <v>239</v>
      </c>
      <c r="B46" s="100" t="s">
        <v>239</v>
      </c>
      <c r="C46" s="10"/>
      <c r="D46" s="10" t="s">
        <v>242</v>
      </c>
      <c r="E46" s="16" t="s">
        <v>243</v>
      </c>
      <c r="F46" s="16" t="s">
        <v>243</v>
      </c>
      <c r="G46" s="9" t="s">
        <v>30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>
      <c r="A47" s="8" t="s">
        <v>12</v>
      </c>
      <c r="B47" s="14" t="s">
        <v>12</v>
      </c>
      <c r="C47" s="12" t="s">
        <v>12</v>
      </c>
      <c r="D47" s="12" t="s">
        <v>12</v>
      </c>
      <c r="E47" s="15" t="s">
        <v>12</v>
      </c>
      <c r="F47" s="15" t="s">
        <v>12</v>
      </c>
      <c r="G47" s="8" t="s">
        <v>12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>
      <c r="A48" s="21">
        <v>4</v>
      </c>
      <c r="B48" s="22">
        <f aca="true" t="shared" si="0" ref="B48:B59">IF(($E$19*12/(1-($E$22+$E$25+$G$32)/100))/($E$32*$A48*$E$28*(1-($E$30/100)))&lt;16,"Don't Use",($E$19*12/(1-($E$22+$E$25+$G$32)/100))/($E$32*$A48*$E$28*(1-($E$30/100))))</f>
        <v>88.39302953098415</v>
      </c>
      <c r="C48" s="22">
        <f aca="true" t="shared" si="1" ref="C48:C59">IF(B48="Don't Use","Don't Use",ROUND(((+$E$32/12)*$E$34/$E$36+0.4),0))</f>
        <v>2</v>
      </c>
      <c r="D48" s="22">
        <f aca="true" t="shared" si="2" ref="D48:D59">IF(B48="Don't Use","Don't Use",((($E$19*$E$34/(1-($E$22+$E$25+$G$32)/100))/($E$28*(1-($E$30/100)))-(1.365*($A48^2)*$B48*$C48))/$C48)/($B48*$A48)+2.73*$A48)</f>
        <v>95.46000000000001</v>
      </c>
      <c r="E48" s="23">
        <f aca="true" t="shared" si="3" ref="E48:E59">IF(B48="Don't Use","Don't Use",($E$19/(1-($E$22+$E$25+$G$32)/100)*($E$34/2000)*(1+0.0225*($B48/$I$53-1))))</f>
        <v>506.7002757506302</v>
      </c>
      <c r="F48" s="23">
        <f aca="true" t="shared" si="4" ref="F48:F59">IF(B48="Don't Use","Don't Use",+$E48*($E$22+$E$25+$G$32+2.25*($B48/$I$53-1))/100)</f>
        <v>115.96735069680308</v>
      </c>
      <c r="G48" s="23">
        <f aca="true" t="shared" si="5" ref="G48:G59">IF(B48="Don't Use","Don't Use",($F48/$E48)*100)</f>
        <v>22.886774735815575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">
      <c r="A49" s="21">
        <v>6</v>
      </c>
      <c r="B49" s="22">
        <f t="shared" si="0"/>
        <v>58.928686353989434</v>
      </c>
      <c r="C49" s="22">
        <f t="shared" si="1"/>
        <v>2</v>
      </c>
      <c r="D49" s="22">
        <f t="shared" si="2"/>
        <v>98.19</v>
      </c>
      <c r="E49" s="23">
        <f t="shared" si="3"/>
        <v>495.40141976631696</v>
      </c>
      <c r="F49" s="23">
        <f t="shared" si="4"/>
        <v>101.80889570950666</v>
      </c>
      <c r="G49" s="23">
        <f t="shared" si="5"/>
        <v>20.55078803721038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">
      <c r="A50" s="21">
        <v>8</v>
      </c>
      <c r="B50" s="22">
        <f t="shared" si="0"/>
        <v>44.196514765492076</v>
      </c>
      <c r="C50" s="22">
        <f t="shared" si="1"/>
        <v>2</v>
      </c>
      <c r="D50" s="22">
        <f t="shared" si="2"/>
        <v>100.92000000000002</v>
      </c>
      <c r="E50" s="23">
        <f t="shared" si="3"/>
        <v>489.75199177416033</v>
      </c>
      <c r="F50" s="23">
        <f t="shared" si="4"/>
        <v>94.92762304552453</v>
      </c>
      <c r="G50" s="23">
        <f t="shared" si="5"/>
        <v>19.382794687907786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1">
        <v>9</v>
      </c>
      <c r="B51" s="22">
        <f t="shared" si="0"/>
        <v>39.28579090265963</v>
      </c>
      <c r="C51" s="22">
        <f t="shared" si="1"/>
        <v>2</v>
      </c>
      <c r="D51" s="22">
        <f t="shared" si="2"/>
        <v>102.285</v>
      </c>
      <c r="E51" s="23">
        <f t="shared" si="3"/>
        <v>487.8688491101081</v>
      </c>
      <c r="F51" s="23">
        <f t="shared" si="4"/>
        <v>92.66319213229585</v>
      </c>
      <c r="G51" s="23">
        <f t="shared" si="5"/>
        <v>18.993463571473594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1">
        <v>10</v>
      </c>
      <c r="B52" s="22">
        <f t="shared" si="0"/>
        <v>35.357211812393665</v>
      </c>
      <c r="C52" s="22">
        <f t="shared" si="1"/>
        <v>2</v>
      </c>
      <c r="D52" s="22">
        <f t="shared" si="2"/>
        <v>103.65</v>
      </c>
      <c r="E52" s="23">
        <f t="shared" si="3"/>
        <v>486.3623349788664</v>
      </c>
      <c r="F52" s="23">
        <f t="shared" si="4"/>
        <v>90.8622049926284</v>
      </c>
      <c r="G52" s="23">
        <f t="shared" si="5"/>
        <v>18.681998678326227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105">
        <v>12</v>
      </c>
      <c r="B53" s="106">
        <f t="shared" si="0"/>
        <v>29.464343176994717</v>
      </c>
      <c r="C53" s="106">
        <f t="shared" si="1"/>
        <v>2</v>
      </c>
      <c r="D53" s="106">
        <f t="shared" si="2"/>
        <v>106.38000000000002</v>
      </c>
      <c r="E53" s="107">
        <f t="shared" si="3"/>
        <v>484.10256378200376</v>
      </c>
      <c r="F53" s="107">
        <f t="shared" si="4"/>
        <v>88.17832026798648</v>
      </c>
      <c r="G53" s="107">
        <f t="shared" si="5"/>
        <v>18.214801338605195</v>
      </c>
      <c r="H53" s="107" t="s">
        <v>244</v>
      </c>
      <c r="I53" s="24">
        <f>($E$19*12/(1-($E$22+$E$25)/100))/($E$32*12*$E$28*(1-($E$30/100)))</f>
        <v>28.379772961816304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1">
        <v>14</v>
      </c>
      <c r="B54" s="22">
        <f t="shared" si="0"/>
        <v>25.255151294566904</v>
      </c>
      <c r="C54" s="22">
        <f t="shared" si="1"/>
        <v>2</v>
      </c>
      <c r="D54" s="22">
        <f t="shared" si="2"/>
        <v>109.11</v>
      </c>
      <c r="E54" s="23">
        <f t="shared" si="3"/>
        <v>482.4884414985304</v>
      </c>
      <c r="F54" s="23">
        <f t="shared" si="4"/>
        <v>86.27418741273063</v>
      </c>
      <c r="G54" s="23">
        <f t="shared" si="5"/>
        <v>17.881088953090167</v>
      </c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1">
        <v>16</v>
      </c>
      <c r="B55" s="22">
        <f t="shared" si="0"/>
        <v>22.098257382746038</v>
      </c>
      <c r="C55" s="22">
        <f t="shared" si="1"/>
        <v>2</v>
      </c>
      <c r="D55" s="22">
        <f t="shared" si="2"/>
        <v>111.84</v>
      </c>
      <c r="E55" s="23">
        <f t="shared" si="3"/>
        <v>481.2778497859254</v>
      </c>
      <c r="F55" s="23">
        <f t="shared" si="4"/>
        <v>84.85315758663397</v>
      </c>
      <c r="G55" s="23">
        <f t="shared" si="5"/>
        <v>17.630804663953896</v>
      </c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1">
        <v>18</v>
      </c>
      <c r="B56" s="22">
        <f t="shared" si="0"/>
        <v>19.642895451329814</v>
      </c>
      <c r="C56" s="22">
        <f t="shared" si="1"/>
        <v>2</v>
      </c>
      <c r="D56" s="22">
        <f t="shared" si="2"/>
        <v>114.57</v>
      </c>
      <c r="E56" s="23">
        <f t="shared" si="3"/>
        <v>480.3362784538993</v>
      </c>
      <c r="F56" s="23">
        <f t="shared" si="4"/>
        <v>83.75210168654112</v>
      </c>
      <c r="G56" s="23">
        <f t="shared" si="5"/>
        <v>17.436139105736796</v>
      </c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1">
        <v>20</v>
      </c>
      <c r="B57" s="22">
        <f t="shared" si="0"/>
        <v>17.678605906196832</v>
      </c>
      <c r="C57" s="22">
        <f t="shared" si="1"/>
        <v>2</v>
      </c>
      <c r="D57" s="22">
        <f t="shared" si="2"/>
        <v>117.3</v>
      </c>
      <c r="E57" s="23">
        <f t="shared" si="3"/>
        <v>479.58302138827844</v>
      </c>
      <c r="F57" s="23">
        <f t="shared" si="4"/>
        <v>82.87389636419573</v>
      </c>
      <c r="G57" s="23">
        <f t="shared" si="5"/>
        <v>17.280406659163113</v>
      </c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1">
        <v>22</v>
      </c>
      <c r="B58" s="22">
        <f t="shared" si="0"/>
        <v>16.071459914724393</v>
      </c>
      <c r="C58" s="22">
        <f t="shared" si="1"/>
        <v>2</v>
      </c>
      <c r="D58" s="22">
        <f t="shared" si="2"/>
        <v>120.03</v>
      </c>
      <c r="E58" s="23">
        <f t="shared" si="3"/>
        <v>478.9667201527704</v>
      </c>
      <c r="F58" s="23">
        <f t="shared" si="4"/>
        <v>82.1571097931719</v>
      </c>
      <c r="G58" s="23">
        <f t="shared" si="5"/>
        <v>17.15298920287556</v>
      </c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1">
        <v>24</v>
      </c>
      <c r="B59" s="22" t="str">
        <f t="shared" si="0"/>
        <v>Don't Use</v>
      </c>
      <c r="C59" s="22" t="str">
        <f t="shared" si="1"/>
        <v>Don't Use</v>
      </c>
      <c r="D59" s="22" t="str">
        <f t="shared" si="2"/>
        <v>Don't Use</v>
      </c>
      <c r="E59" s="23" t="str">
        <f t="shared" si="3"/>
        <v>Don't Use</v>
      </c>
      <c r="F59" s="23" t="str">
        <f t="shared" si="4"/>
        <v>Don't Use</v>
      </c>
      <c r="G59" s="23" t="str">
        <f t="shared" si="5"/>
        <v>Don't Use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8" t="s">
        <v>12</v>
      </c>
      <c r="B60" s="14" t="s">
        <v>12</v>
      </c>
      <c r="C60" s="12" t="s">
        <v>12</v>
      </c>
      <c r="D60" s="12" t="s">
        <v>12</v>
      </c>
      <c r="E60" s="15" t="s">
        <v>12</v>
      </c>
      <c r="F60" s="15" t="s">
        <v>12</v>
      </c>
      <c r="G60" s="8" t="s">
        <v>12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105" t="s">
        <v>245</v>
      </c>
      <c r="B61" s="5"/>
      <c r="C61" s="3"/>
      <c r="D61" s="3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105" t="s">
        <v>246</v>
      </c>
      <c r="B62" s="5"/>
      <c r="C62" s="3"/>
      <c r="D62" s="3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5"/>
      <c r="C63" s="3"/>
      <c r="D63" s="3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5"/>
      <c r="C64" s="3"/>
      <c r="D64" s="3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>
      <c r="A65" s="2"/>
      <c r="B65" s="5"/>
      <c r="C65" s="3"/>
      <c r="D65" s="3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5"/>
      <c r="C66" s="3"/>
      <c r="D66" s="3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5"/>
      <c r="C67" s="3"/>
      <c r="D67" s="3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5"/>
      <c r="C68" s="3"/>
      <c r="D68" s="3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5"/>
      <c r="C69" s="3"/>
      <c r="D69" s="3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 t="s">
        <v>465</v>
      </c>
      <c r="B70" s="5"/>
      <c r="C70" s="3"/>
      <c r="D70" s="3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</sheetData>
  <sheetProtection sheet="1" objects="1" scenarios="1"/>
  <printOptions/>
  <pageMargins left="0.5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 Frank</dc:creator>
  <cp:keywords/>
  <dc:description/>
  <cp:lastModifiedBy>mark</cp:lastModifiedBy>
  <cp:lastPrinted>1999-05-24T14:03:36Z</cp:lastPrinted>
  <dcterms:created xsi:type="dcterms:W3CDTF">1999-01-06T12:47:27Z</dcterms:created>
  <dcterms:modified xsi:type="dcterms:W3CDTF">2012-11-12T20:35:53Z</dcterms:modified>
  <cp:category/>
  <cp:version/>
  <cp:contentType/>
  <cp:contentStatus/>
</cp:coreProperties>
</file>